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dls\Documents\SECRETARIA DE HABITAT 25-26\2026\JUNIO\"/>
    </mc:Choice>
  </mc:AlternateContent>
  <xr:revisionPtr revIDLastSave="0" documentId="13_ncr:1_{A3A3BA59-BD62-4258-AE41-C17FD91A658F}" xr6:coauthVersionLast="47" xr6:coauthVersionMax="47" xr10:uidLastSave="{00000000-0000-0000-0000-000000000000}"/>
  <bookViews>
    <workbookView xWindow="-98" yWindow="-98" windowWidth="21795" windowHeight="11625" tabRatio="855" activeTab="3" xr2:uid="{00000000-000D-0000-FFFF-FFFF00000000}"/>
  </bookViews>
  <sheets>
    <sheet name="Resumen Indicador" sheetId="25" r:id="rId1"/>
    <sheet name="Resumen cifras" sheetId="30" r:id="rId2"/>
    <sheet name="AÑO CORRIDO I TRIMESTRE 25-26" sheetId="27" r:id="rId3"/>
    <sheet name="Viviendas por localidad" sheetId="15" r:id="rId4"/>
    <sheet name="mapa-2024-2025-dic" sheetId="28" r:id="rId5"/>
    <sheet name="Variaciones" sheetId="26" r:id="rId6"/>
    <sheet name="Hoja1" sheetId="29" r:id="rId7"/>
  </sheets>
  <definedNames>
    <definedName name="_xlnm._FilterDatabase" localSheetId="2" hidden="1">'AÑO CORRIDO I TRIMESTRE 25-26'!$A$5:$AU$5</definedName>
    <definedName name="_xlnm._FilterDatabase" localSheetId="3" hidden="1">'Viviendas por localidad'!$B$54:$D$70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5" l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6" i="27"/>
  <c r="AP7" i="27"/>
  <c r="AP8" i="27"/>
  <c r="AP9" i="27"/>
  <c r="AP10" i="27"/>
  <c r="AP11" i="27"/>
  <c r="AP12" i="27"/>
  <c r="AP13" i="27"/>
  <c r="AP14" i="27"/>
  <c r="AP15" i="27"/>
  <c r="AP16" i="27"/>
  <c r="AP17" i="27"/>
  <c r="AP18" i="27"/>
  <c r="AP19" i="27"/>
  <c r="AP20" i="27"/>
  <c r="AP21" i="27"/>
  <c r="AP22" i="27"/>
  <c r="AP23" i="27"/>
  <c r="AP24" i="27"/>
  <c r="AP6" i="27"/>
  <c r="AO6" i="27"/>
  <c r="AM7" i="27"/>
  <c r="AM8" i="27"/>
  <c r="AM9" i="27"/>
  <c r="AM10" i="27"/>
  <c r="AM11" i="27"/>
  <c r="AM12" i="27"/>
  <c r="AM13" i="27"/>
  <c r="AM14" i="27"/>
  <c r="AM15" i="27"/>
  <c r="AM16" i="27"/>
  <c r="AM17" i="27"/>
  <c r="AM18" i="27"/>
  <c r="AM19" i="27"/>
  <c r="AM20" i="27"/>
  <c r="AM21" i="27"/>
  <c r="AM22" i="27"/>
  <c r="AM23" i="27"/>
  <c r="AM24" i="27"/>
  <c r="AM6" i="27"/>
  <c r="F46" i="26" l="1"/>
  <c r="CK26" i="15"/>
  <c r="E6" i="30"/>
  <c r="AG20" i="27"/>
  <c r="AG16" i="27"/>
  <c r="AG15" i="27"/>
  <c r="AG14" i="27"/>
  <c r="AG13" i="27"/>
  <c r="AG8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K11" i="27"/>
  <c r="AK10" i="27"/>
  <c r="AK9" i="27"/>
  <c r="AK8" i="27"/>
  <c r="AK7" i="27"/>
  <c r="AK6" i="27"/>
  <c r="AG24" i="27"/>
  <c r="AG23" i="27"/>
  <c r="AG22" i="27"/>
  <c r="AG21" i="27"/>
  <c r="AG19" i="27"/>
  <c r="AG18" i="27"/>
  <c r="AG17" i="27"/>
  <c r="AG12" i="27"/>
  <c r="AG11" i="27"/>
  <c r="AG10" i="27"/>
  <c r="AG9" i="27"/>
  <c r="AG7" i="27"/>
  <c r="AL25" i="27"/>
  <c r="AJ25" i="27"/>
  <c r="AI25" i="27"/>
  <c r="AC25" i="27"/>
  <c r="AC24" i="27"/>
  <c r="AC23" i="27"/>
  <c r="AC22" i="27"/>
  <c r="AC21" i="27"/>
  <c r="AC20" i="27"/>
  <c r="AC19" i="27"/>
  <c r="AC18" i="27"/>
  <c r="AC17" i="27"/>
  <c r="AC16" i="27"/>
  <c r="AC15" i="27"/>
  <c r="AC14" i="27"/>
  <c r="AC13" i="27"/>
  <c r="AC12" i="27"/>
  <c r="AC11" i="27"/>
  <c r="AC10" i="27"/>
  <c r="AC9" i="27"/>
  <c r="AC8" i="27"/>
  <c r="AC7" i="27"/>
  <c r="AC6" i="27"/>
  <c r="AB25" i="27"/>
  <c r="AA25" i="27"/>
  <c r="AK25" i="27" l="1"/>
  <c r="AE25" i="27"/>
  <c r="AG6" i="27"/>
  <c r="AG25" i="27" s="1"/>
  <c r="AF25" i="27"/>
  <c r="AH25" i="27"/>
  <c r="E7" i="30"/>
  <c r="B5" i="30"/>
  <c r="B4" i="30"/>
  <c r="B13" i="30"/>
  <c r="B12" i="30"/>
  <c r="B9" i="30"/>
  <c r="B8" i="30"/>
  <c r="Y24" i="27"/>
  <c r="W24" i="27"/>
  <c r="V24" i="27"/>
  <c r="Y23" i="27"/>
  <c r="W23" i="27"/>
  <c r="V23" i="27"/>
  <c r="Y22" i="27"/>
  <c r="W22" i="27"/>
  <c r="V22" i="27"/>
  <c r="Y21" i="27"/>
  <c r="W21" i="27"/>
  <c r="V21" i="27"/>
  <c r="Y20" i="27"/>
  <c r="W20" i="27"/>
  <c r="V20" i="27"/>
  <c r="Y19" i="27"/>
  <c r="W19" i="27"/>
  <c r="V19" i="27"/>
  <c r="Y18" i="27"/>
  <c r="W18" i="27"/>
  <c r="V18" i="27"/>
  <c r="Y17" i="27"/>
  <c r="W17" i="27"/>
  <c r="V17" i="27"/>
  <c r="Y16" i="27"/>
  <c r="W16" i="27"/>
  <c r="V16" i="27"/>
  <c r="Y15" i="27"/>
  <c r="W15" i="27"/>
  <c r="V15" i="27"/>
  <c r="Y14" i="27"/>
  <c r="W14" i="27"/>
  <c r="V14" i="27"/>
  <c r="Y13" i="27"/>
  <c r="W13" i="27"/>
  <c r="V13" i="27"/>
  <c r="Y12" i="27"/>
  <c r="W12" i="27"/>
  <c r="V12" i="27"/>
  <c r="Y11" i="27"/>
  <c r="W11" i="27"/>
  <c r="V11" i="27"/>
  <c r="Y10" i="27"/>
  <c r="W10" i="27"/>
  <c r="V10" i="27"/>
  <c r="Y9" i="27"/>
  <c r="W9" i="27"/>
  <c r="V9" i="27"/>
  <c r="Y8" i="27"/>
  <c r="W8" i="27"/>
  <c r="V8" i="27"/>
  <c r="Y7" i="27"/>
  <c r="W7" i="27"/>
  <c r="V7" i="27"/>
  <c r="Y6" i="27"/>
  <c r="W6" i="27"/>
  <c r="V6" i="27"/>
  <c r="CM22" i="15"/>
  <c r="CM21" i="15"/>
  <c r="CM20" i="15"/>
  <c r="CM19" i="15"/>
  <c r="CM18" i="15"/>
  <c r="CM17" i="15"/>
  <c r="CM16" i="15"/>
  <c r="CM15" i="15"/>
  <c r="CM14" i="15"/>
  <c r="CM13" i="15"/>
  <c r="CM12" i="15"/>
  <c r="CM11" i="15"/>
  <c r="CM10" i="15"/>
  <c r="CM9" i="15"/>
  <c r="CM8" i="15"/>
  <c r="CM7" i="15"/>
  <c r="CM6" i="15"/>
  <c r="CM5" i="15"/>
  <c r="CM4" i="15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U25" i="27"/>
  <c r="S25" i="27"/>
  <c r="R25" i="27"/>
  <c r="Q25" i="27"/>
  <c r="O25" i="27"/>
  <c r="N25" i="27"/>
  <c r="M25" i="27"/>
  <c r="F53" i="27" s="1"/>
  <c r="K25" i="27"/>
  <c r="J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P9" i="27"/>
  <c r="P8" i="27"/>
  <c r="P7" i="27"/>
  <c r="P6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AD25" i="27" l="1"/>
  <c r="X16" i="27"/>
  <c r="X15" i="27"/>
  <c r="X10" i="27"/>
  <c r="X22" i="27"/>
  <c r="X17" i="27"/>
  <c r="V25" i="27"/>
  <c r="AR16" i="27"/>
  <c r="W25" i="27"/>
  <c r="X18" i="27"/>
  <c r="X13" i="27"/>
  <c r="X6" i="27"/>
  <c r="X20" i="27"/>
  <c r="X9" i="27"/>
  <c r="X11" i="27"/>
  <c r="X12" i="27"/>
  <c r="X24" i="27"/>
  <c r="X8" i="27"/>
  <c r="X23" i="27"/>
  <c r="X14" i="27"/>
  <c r="X7" i="27"/>
  <c r="X19" i="27"/>
  <c r="Y25" i="27"/>
  <c r="Z13" i="27" s="1"/>
  <c r="F45" i="27"/>
  <c r="F46" i="27"/>
  <c r="X21" i="27"/>
  <c r="F33" i="27"/>
  <c r="F34" i="27"/>
  <c r="T25" i="27"/>
  <c r="E4" i="30" s="1"/>
  <c r="F44" i="27"/>
  <c r="F32" i="27"/>
  <c r="F38" i="27"/>
  <c r="F31" i="27"/>
  <c r="F42" i="27"/>
  <c r="F40" i="27"/>
  <c r="F43" i="27"/>
  <c r="F41" i="27"/>
  <c r="L25" i="27"/>
  <c r="F36" i="27"/>
  <c r="F35" i="27"/>
  <c r="F48" i="27"/>
  <c r="F37" i="27"/>
  <c r="P25" i="27"/>
  <c r="F47" i="27"/>
  <c r="F39" i="27"/>
  <c r="F72" i="27"/>
  <c r="CD22" i="15"/>
  <c r="CD21" i="15"/>
  <c r="CD20" i="15"/>
  <c r="CD19" i="15"/>
  <c r="CD18" i="15"/>
  <c r="CD17" i="15"/>
  <c r="CD16" i="15"/>
  <c r="CD15" i="15"/>
  <c r="CD14" i="15"/>
  <c r="CD13" i="15"/>
  <c r="CD12" i="15"/>
  <c r="CD11" i="15"/>
  <c r="CD10" i="15"/>
  <c r="CD9" i="15"/>
  <c r="CD8" i="15"/>
  <c r="CD7" i="15"/>
  <c r="CD6" i="15"/>
  <c r="CD5" i="15"/>
  <c r="CD4" i="15"/>
  <c r="CI23" i="15"/>
  <c r="CG23" i="15"/>
  <c r="CF23" i="15"/>
  <c r="BY23" i="15"/>
  <c r="BX23" i="15"/>
  <c r="BW23" i="15"/>
  <c r="CH22" i="15"/>
  <c r="CH21" i="15"/>
  <c r="CH20" i="15"/>
  <c r="CH19" i="15"/>
  <c r="CH18" i="15"/>
  <c r="CH17" i="15"/>
  <c r="CH16" i="15"/>
  <c r="CH15" i="15"/>
  <c r="CH14" i="15"/>
  <c r="CH13" i="15"/>
  <c r="CH12" i="15"/>
  <c r="CH11" i="15"/>
  <c r="CH10" i="15"/>
  <c r="CH9" i="15"/>
  <c r="CH8" i="15"/>
  <c r="CH7" i="15"/>
  <c r="CH6" i="15"/>
  <c r="CH5" i="15"/>
  <c r="CH4" i="15"/>
  <c r="CH23" i="15" s="1"/>
  <c r="D93" i="26"/>
  <c r="B90" i="26"/>
  <c r="B91" i="26"/>
  <c r="B44" i="26"/>
  <c r="CJ23" i="15"/>
  <c r="B21" i="26"/>
  <c r="F21" i="26"/>
  <c r="J91" i="26"/>
  <c r="I91" i="26"/>
  <c r="H91" i="26"/>
  <c r="G91" i="26"/>
  <c r="F91" i="26"/>
  <c r="J66" i="26"/>
  <c r="I66" i="26"/>
  <c r="H66" i="26"/>
  <c r="F66" i="26"/>
  <c r="B22" i="26"/>
  <c r="F42" i="26"/>
  <c r="J43" i="26"/>
  <c r="I43" i="26"/>
  <c r="H43" i="26"/>
  <c r="G43" i="26"/>
  <c r="J21" i="26"/>
  <c r="I21" i="26"/>
  <c r="H21" i="26"/>
  <c r="G21" i="26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AP25" i="27"/>
  <c r="AN25" i="27"/>
  <c r="AM25" i="27"/>
  <c r="AO24" i="27"/>
  <c r="AO23" i="27"/>
  <c r="AO22" i="27"/>
  <c r="AO21" i="27"/>
  <c r="AO20" i="27"/>
  <c r="H44" i="27" s="1"/>
  <c r="AO19" i="27"/>
  <c r="AO18" i="27"/>
  <c r="AO17" i="27"/>
  <c r="AO16" i="27"/>
  <c r="AO15" i="27"/>
  <c r="AO14" i="27"/>
  <c r="AO13" i="27"/>
  <c r="AO12" i="27"/>
  <c r="AO11" i="27"/>
  <c r="AO10" i="27"/>
  <c r="AO9" i="27"/>
  <c r="AO8" i="27"/>
  <c r="AO7" i="27"/>
  <c r="N22" i="28"/>
  <c r="M17" i="28"/>
  <c r="M16" i="28"/>
  <c r="M14" i="28"/>
  <c r="M13" i="28"/>
  <c r="M12" i="28"/>
  <c r="M11" i="28"/>
  <c r="M10" i="28"/>
  <c r="M5" i="28"/>
  <c r="L22" i="28"/>
  <c r="K22" i="28"/>
  <c r="M21" i="28"/>
  <c r="M20" i="28"/>
  <c r="M19" i="28"/>
  <c r="M18" i="28"/>
  <c r="M15" i="28"/>
  <c r="M9" i="28"/>
  <c r="M8" i="28"/>
  <c r="M7" i="28"/>
  <c r="M6" i="28"/>
  <c r="M3" i="28"/>
  <c r="AE48" i="15"/>
  <c r="AE47" i="15"/>
  <c r="AE46" i="15"/>
  <c r="AE45" i="15"/>
  <c r="AE44" i="15"/>
  <c r="AE43" i="15"/>
  <c r="AE42" i="15"/>
  <c r="AE41" i="15"/>
  <c r="AE40" i="15"/>
  <c r="AE39" i="15"/>
  <c r="AE38" i="15"/>
  <c r="AE37" i="15"/>
  <c r="AE36" i="15"/>
  <c r="AE35" i="15"/>
  <c r="AE34" i="15"/>
  <c r="AE33" i="15"/>
  <c r="AE32" i="15"/>
  <c r="AE31" i="15"/>
  <c r="AE30" i="15"/>
  <c r="BU22" i="15"/>
  <c r="C73" i="15" s="1"/>
  <c r="BU21" i="15"/>
  <c r="C72" i="15" s="1"/>
  <c r="BU20" i="15"/>
  <c r="BU19" i="15"/>
  <c r="BU18" i="15"/>
  <c r="BU17" i="15"/>
  <c r="BU16" i="15"/>
  <c r="BU15" i="15"/>
  <c r="BU14" i="15"/>
  <c r="BU13" i="15"/>
  <c r="BU12" i="15"/>
  <c r="BU11" i="15"/>
  <c r="BU10" i="15"/>
  <c r="C61" i="15" s="1"/>
  <c r="BU9" i="15"/>
  <c r="BU8" i="15"/>
  <c r="BU7" i="15"/>
  <c r="BU6" i="15"/>
  <c r="BU5" i="15"/>
  <c r="BU4" i="15"/>
  <c r="BO23" i="15"/>
  <c r="BR20" i="15" s="1"/>
  <c r="H10" i="25"/>
  <c r="J9" i="25"/>
  <c r="J8" i="25"/>
  <c r="J7" i="25"/>
  <c r="F10" i="25"/>
  <c r="G9" i="25"/>
  <c r="G8" i="25"/>
  <c r="G7" i="25"/>
  <c r="G20" i="26"/>
  <c r="H24" i="27"/>
  <c r="D24" i="27"/>
  <c r="H23" i="27"/>
  <c r="D23" i="27"/>
  <c r="H22" i="27"/>
  <c r="D22" i="27"/>
  <c r="H21" i="27"/>
  <c r="D21" i="27"/>
  <c r="H20" i="27"/>
  <c r="D20" i="27"/>
  <c r="H19" i="27"/>
  <c r="D19" i="27"/>
  <c r="H18" i="27"/>
  <c r="D18" i="27"/>
  <c r="H17" i="27"/>
  <c r="D17" i="27"/>
  <c r="H16" i="27"/>
  <c r="D16" i="27"/>
  <c r="H15" i="27"/>
  <c r="D15" i="27"/>
  <c r="H14" i="27"/>
  <c r="D14" i="27"/>
  <c r="H13" i="27"/>
  <c r="D13" i="27"/>
  <c r="H12" i="27"/>
  <c r="D12" i="27"/>
  <c r="H11" i="27"/>
  <c r="D11" i="27"/>
  <c r="H10" i="27"/>
  <c r="D10" i="27"/>
  <c r="H9" i="27"/>
  <c r="D9" i="27"/>
  <c r="H8" i="27"/>
  <c r="D8" i="27"/>
  <c r="H7" i="27"/>
  <c r="D7" i="27"/>
  <c r="H6" i="27"/>
  <c r="D6" i="27"/>
  <c r="C55" i="15" l="1"/>
  <c r="C63" i="15"/>
  <c r="BV28" i="15"/>
  <c r="C60" i="15"/>
  <c r="AO25" i="27"/>
  <c r="F30" i="27"/>
  <c r="F49" i="27" s="1"/>
  <c r="G55" i="27" s="1"/>
  <c r="E3" i="30"/>
  <c r="E2" i="30"/>
  <c r="AR6" i="27"/>
  <c r="Z21" i="27"/>
  <c r="Z22" i="27"/>
  <c r="Z8" i="27"/>
  <c r="C64" i="15"/>
  <c r="C65" i="15"/>
  <c r="C67" i="15"/>
  <c r="C66" i="15"/>
  <c r="Z9" i="27"/>
  <c r="Z15" i="27"/>
  <c r="Z24" i="27"/>
  <c r="Z7" i="27"/>
  <c r="Z12" i="27"/>
  <c r="Z19" i="27"/>
  <c r="Z10" i="27"/>
  <c r="Z16" i="27"/>
  <c r="Z18" i="27"/>
  <c r="Z20" i="27"/>
  <c r="Z14" i="27"/>
  <c r="Z6" i="27"/>
  <c r="Z23" i="27"/>
  <c r="Z17" i="27"/>
  <c r="Z11" i="27"/>
  <c r="X25" i="27"/>
  <c r="H31" i="27"/>
  <c r="H53" i="27"/>
  <c r="H72" i="27" s="1"/>
  <c r="I71" i="27" s="1"/>
  <c r="AR17" i="27"/>
  <c r="AR11" i="27"/>
  <c r="H34" i="27"/>
  <c r="H42" i="27"/>
  <c r="H47" i="27"/>
  <c r="H32" i="27"/>
  <c r="C56" i="15"/>
  <c r="C68" i="15"/>
  <c r="CD23" i="15"/>
  <c r="C57" i="15"/>
  <c r="C58" i="15"/>
  <c r="C70" i="15"/>
  <c r="C69" i="15"/>
  <c r="C59" i="15"/>
  <c r="C71" i="15"/>
  <c r="C62" i="15"/>
  <c r="BR9" i="15"/>
  <c r="BR15" i="15"/>
  <c r="BR21" i="15"/>
  <c r="BR4" i="15"/>
  <c r="BR10" i="15"/>
  <c r="BR16" i="15"/>
  <c r="BR22" i="15"/>
  <c r="BR5" i="15"/>
  <c r="BR11" i="15"/>
  <c r="BR17" i="15"/>
  <c r="BR6" i="15"/>
  <c r="BR12" i="15"/>
  <c r="BR18" i="15"/>
  <c r="C79" i="15"/>
  <c r="BR7" i="15"/>
  <c r="BR13" i="15"/>
  <c r="BR19" i="15"/>
  <c r="BR8" i="15"/>
  <c r="BR14" i="15"/>
  <c r="H33" i="27"/>
  <c r="H48" i="27"/>
  <c r="H36" i="27"/>
  <c r="H37" i="27"/>
  <c r="H39" i="27"/>
  <c r="H38" i="27"/>
  <c r="H40" i="27"/>
  <c r="H41" i="27"/>
  <c r="H43" i="27"/>
  <c r="H35" i="27"/>
  <c r="H46" i="27"/>
  <c r="H45" i="27"/>
  <c r="AR7" i="27"/>
  <c r="AR8" i="27" s="1"/>
  <c r="M4" i="28"/>
  <c r="M22" i="28"/>
  <c r="AE49" i="15"/>
  <c r="AF39" i="15" s="1"/>
  <c r="BP23" i="15"/>
  <c r="CE14" i="15" s="1"/>
  <c r="BN23" i="15"/>
  <c r="J10" i="25"/>
  <c r="Z25" i="27" l="1"/>
  <c r="CE11" i="15"/>
  <c r="G39" i="27"/>
  <c r="G32" i="27"/>
  <c r="G56" i="27"/>
  <c r="G58" i="27"/>
  <c r="G57" i="27"/>
  <c r="G48" i="27"/>
  <c r="G63" i="27"/>
  <c r="G44" i="27"/>
  <c r="G64" i="27"/>
  <c r="G31" i="27"/>
  <c r="G33" i="27"/>
  <c r="G37" i="27"/>
  <c r="G40" i="27"/>
  <c r="G38" i="27"/>
  <c r="G62" i="27"/>
  <c r="G46" i="27"/>
  <c r="G68" i="27"/>
  <c r="G45" i="27"/>
  <c r="G34" i="27"/>
  <c r="G43" i="27"/>
  <c r="G53" i="27"/>
  <c r="G60" i="27"/>
  <c r="G30" i="27"/>
  <c r="G36" i="27"/>
  <c r="G59" i="27"/>
  <c r="G41" i="27"/>
  <c r="G42" i="27"/>
  <c r="G70" i="27"/>
  <c r="G71" i="27"/>
  <c r="H30" i="27"/>
  <c r="AR12" i="27"/>
  <c r="AR13" i="27" s="1"/>
  <c r="G67" i="27"/>
  <c r="G61" i="27"/>
  <c r="G35" i="27"/>
  <c r="G69" i="27"/>
  <c r="G66" i="27"/>
  <c r="G54" i="27"/>
  <c r="G65" i="27"/>
  <c r="G47" i="27"/>
  <c r="CE10" i="15"/>
  <c r="CE5" i="15"/>
  <c r="CE22" i="15"/>
  <c r="CE21" i="15"/>
  <c r="AF32" i="15"/>
  <c r="CE20" i="15"/>
  <c r="CE18" i="15"/>
  <c r="CE15" i="15"/>
  <c r="CE19" i="15"/>
  <c r="CE13" i="15"/>
  <c r="CE12" i="15"/>
  <c r="CE8" i="15"/>
  <c r="CE9" i="15"/>
  <c r="CE7" i="15"/>
  <c r="CE6" i="15"/>
  <c r="CE4" i="15"/>
  <c r="AF44" i="15"/>
  <c r="CE16" i="15"/>
  <c r="CE17" i="15"/>
  <c r="AF42" i="15"/>
  <c r="AF33" i="15"/>
  <c r="AF43" i="15"/>
  <c r="AF47" i="15"/>
  <c r="AF48" i="15"/>
  <c r="AF30" i="15"/>
  <c r="AF34" i="15"/>
  <c r="BQ20" i="15"/>
  <c r="BQ14" i="15"/>
  <c r="BQ8" i="15"/>
  <c r="C80" i="15"/>
  <c r="BQ15" i="15"/>
  <c r="BQ19" i="15"/>
  <c r="BQ13" i="15"/>
  <c r="BQ7" i="15"/>
  <c r="BQ21" i="15"/>
  <c r="BQ18" i="15"/>
  <c r="BQ12" i="15"/>
  <c r="BQ6" i="15"/>
  <c r="BQ9" i="15"/>
  <c r="BQ17" i="15"/>
  <c r="BQ11" i="15"/>
  <c r="BQ5" i="15"/>
  <c r="BQ22" i="15"/>
  <c r="BQ16" i="15"/>
  <c r="BQ10" i="15"/>
  <c r="BQ4" i="15"/>
  <c r="C78" i="15"/>
  <c r="AF37" i="15"/>
  <c r="AF36" i="15"/>
  <c r="AF41" i="15"/>
  <c r="AF35" i="15"/>
  <c r="AF40" i="15"/>
  <c r="AF46" i="15"/>
  <c r="AF31" i="15"/>
  <c r="AF45" i="15"/>
  <c r="AF38" i="15"/>
  <c r="I64" i="27"/>
  <c r="I59" i="27"/>
  <c r="I61" i="27"/>
  <c r="I55" i="27"/>
  <c r="I60" i="27"/>
  <c r="I70" i="27"/>
  <c r="I58" i="27"/>
  <c r="I68" i="27"/>
  <c r="I69" i="27"/>
  <c r="I66" i="27"/>
  <c r="I54" i="27"/>
  <c r="I65" i="27"/>
  <c r="I53" i="27"/>
  <c r="I63" i="27"/>
  <c r="I57" i="27"/>
  <c r="I56" i="27"/>
  <c r="I62" i="27"/>
  <c r="I67" i="27"/>
  <c r="G49" i="27" l="1"/>
  <c r="AR14" i="27"/>
  <c r="AR19" i="27" s="1"/>
  <c r="AR18" i="27" s="1"/>
  <c r="G72" i="27"/>
  <c r="AR9" i="27"/>
  <c r="CE23" i="15"/>
  <c r="AF49" i="15"/>
  <c r="C81" i="15"/>
  <c r="H49" i="27"/>
  <c r="I72" i="27"/>
  <c r="CO23" i="15"/>
  <c r="CL23" i="15"/>
  <c r="E67" i="26"/>
  <c r="J65" i="26"/>
  <c r="B65" i="26"/>
  <c r="F89" i="26"/>
  <c r="B94" i="26"/>
  <c r="B93" i="26"/>
  <c r="F90" i="26"/>
  <c r="J42" i="26"/>
  <c r="J90" i="26"/>
  <c r="I90" i="26"/>
  <c r="H90" i="26"/>
  <c r="I44" i="27" l="1"/>
  <c r="I34" i="27"/>
  <c r="I46" i="27"/>
  <c r="I33" i="27"/>
  <c r="I48" i="27"/>
  <c r="I37" i="27"/>
  <c r="I45" i="27"/>
  <c r="I47" i="27"/>
  <c r="I32" i="27"/>
  <c r="I36" i="27"/>
  <c r="I35" i="27"/>
  <c r="I39" i="27"/>
  <c r="I40" i="27"/>
  <c r="I31" i="27"/>
  <c r="I42" i="27"/>
  <c r="I38" i="27"/>
  <c r="I43" i="27"/>
  <c r="I41" i="27"/>
  <c r="I30" i="27"/>
  <c r="G65" i="26"/>
  <c r="G66" i="26"/>
  <c r="F92" i="26"/>
  <c r="B95" i="26"/>
  <c r="CP23" i="15"/>
  <c r="CQ23" i="15" s="1"/>
  <c r="CN23" i="15"/>
  <c r="G90" i="26"/>
  <c r="F93" i="26"/>
  <c r="H42" i="26"/>
  <c r="G42" i="26"/>
  <c r="CQ10" i="15" l="1"/>
  <c r="CQ22" i="15"/>
  <c r="CQ11" i="15"/>
  <c r="CQ21" i="15"/>
  <c r="CQ7" i="15"/>
  <c r="CQ20" i="15"/>
  <c r="CQ12" i="15"/>
  <c r="CQ19" i="15"/>
  <c r="CQ6" i="15"/>
  <c r="CQ9" i="15"/>
  <c r="CQ8" i="15"/>
  <c r="CQ13" i="15"/>
  <c r="CQ14" i="15"/>
  <c r="CQ15" i="15"/>
  <c r="CQ4" i="15"/>
  <c r="CQ16" i="15"/>
  <c r="CQ5" i="15"/>
  <c r="CQ17" i="15"/>
  <c r="CQ18" i="15"/>
  <c r="I49" i="27"/>
  <c r="CK23" i="15"/>
  <c r="AC49" i="15" l="1"/>
  <c r="BK23" i="15" l="1"/>
  <c r="I4" i="28" l="1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3" i="28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3" i="28"/>
  <c r="E22" i="28" s="1"/>
  <c r="I22" i="28" l="1"/>
  <c r="B70" i="26"/>
  <c r="B67" i="26"/>
  <c r="B68" i="26"/>
  <c r="B69" i="26" s="1"/>
  <c r="F20" i="26"/>
  <c r="C23" i="26" s="1"/>
  <c r="I65" i="26"/>
  <c r="F88" i="26"/>
  <c r="F95" i="26" s="1"/>
  <c r="F96" i="26" s="1"/>
  <c r="I42" i="26"/>
  <c r="J20" i="26"/>
  <c r="I20" i="26"/>
  <c r="H20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4" i="26" l="1"/>
  <c r="G22" i="26" s="1"/>
  <c r="F22" i="26"/>
  <c r="F23" i="26"/>
  <c r="F65" i="26"/>
  <c r="F62" i="26"/>
  <c r="F25" i="26" l="1"/>
  <c r="F64" i="26"/>
  <c r="F70" i="26" s="1"/>
  <c r="F69" i="26" l="1"/>
  <c r="H65" i="26"/>
  <c r="C74" i="15" l="1"/>
  <c r="D56" i="15" s="1"/>
  <c r="BJ23" i="15"/>
  <c r="BI23" i="15"/>
  <c r="BM8" i="15" l="1"/>
  <c r="BM16" i="15"/>
  <c r="BM9" i="15"/>
  <c r="BM17" i="15"/>
  <c r="BM14" i="15"/>
  <c r="BM10" i="15"/>
  <c r="BM18" i="15"/>
  <c r="BM11" i="15"/>
  <c r="BM19" i="15"/>
  <c r="BM6" i="15"/>
  <c r="BM12" i="15"/>
  <c r="BM20" i="15"/>
  <c r="BM5" i="15"/>
  <c r="BM13" i="15"/>
  <c r="BM21" i="15"/>
  <c r="BM22" i="15"/>
  <c r="BM7" i="15"/>
  <c r="BM15" i="15"/>
  <c r="BM4" i="15"/>
  <c r="BL5" i="15"/>
  <c r="BL13" i="15"/>
  <c r="BL21" i="15"/>
  <c r="BL11" i="15"/>
  <c r="BL6" i="15"/>
  <c r="BL14" i="15"/>
  <c r="BL22" i="15"/>
  <c r="BL7" i="15"/>
  <c r="BL15" i="15"/>
  <c r="BL4" i="15"/>
  <c r="BL8" i="15"/>
  <c r="BL16" i="15"/>
  <c r="BL9" i="15"/>
  <c r="BL17" i="15"/>
  <c r="BL19" i="15"/>
  <c r="BL10" i="15"/>
  <c r="BL18" i="15"/>
  <c r="BL12" i="15"/>
  <c r="BL20" i="15"/>
  <c r="BR23" i="15" l="1"/>
  <c r="BQ23" i="15"/>
  <c r="BL23" i="15"/>
  <c r="BM23" i="15"/>
  <c r="D22" i="28"/>
  <c r="F22" i="28"/>
  <c r="G22" i="28"/>
  <c r="H22" i="28"/>
  <c r="J22" i="28"/>
  <c r="C22" i="28"/>
  <c r="CM23" i="15"/>
  <c r="BE23" i="15" l="1"/>
  <c r="BF23" i="15"/>
  <c r="D49" i="27" l="1"/>
  <c r="B49" i="27"/>
  <c r="E34" i="27" l="1"/>
  <c r="E46" i="27"/>
  <c r="E37" i="27"/>
  <c r="E33" i="27"/>
  <c r="E35" i="27"/>
  <c r="E47" i="27"/>
  <c r="E36" i="27"/>
  <c r="E48" i="27"/>
  <c r="E38" i="27"/>
  <c r="E39" i="27"/>
  <c r="E40" i="27"/>
  <c r="E41" i="27"/>
  <c r="E31" i="27"/>
  <c r="E43" i="27"/>
  <c r="E44" i="27"/>
  <c r="E45" i="27"/>
  <c r="E32" i="27"/>
  <c r="E42" i="27"/>
  <c r="AD33" i="15"/>
  <c r="AD41" i="15"/>
  <c r="AD30" i="15"/>
  <c r="AD36" i="15"/>
  <c r="AD40" i="15"/>
  <c r="AD34" i="15"/>
  <c r="AD42" i="15"/>
  <c r="AD43" i="15"/>
  <c r="AD44" i="15"/>
  <c r="AD48" i="15"/>
  <c r="AD35" i="15"/>
  <c r="AD32" i="15"/>
  <c r="AD37" i="15"/>
  <c r="AD45" i="15"/>
  <c r="AD31" i="15"/>
  <c r="AD47" i="15"/>
  <c r="AD38" i="15"/>
  <c r="AD46" i="15"/>
  <c r="AD39" i="15"/>
  <c r="B25" i="27"/>
  <c r="C25" i="27"/>
  <c r="AD49" i="15" l="1"/>
  <c r="F41" i="26" l="1"/>
  <c r="F45" i="26" l="1"/>
  <c r="F44" i="26"/>
  <c r="AA49" i="15"/>
  <c r="BB23" i="15"/>
  <c r="BD5" i="15" s="1"/>
  <c r="BA23" i="15"/>
  <c r="BC7" i="15" s="1"/>
  <c r="AB35" i="15" l="1"/>
  <c r="AB43" i="15"/>
  <c r="AB47" i="15"/>
  <c r="AB33" i="15"/>
  <c r="AB36" i="15"/>
  <c r="AB44" i="15"/>
  <c r="AB40" i="15"/>
  <c r="AB34" i="15"/>
  <c r="AB37" i="15"/>
  <c r="AB45" i="15"/>
  <c r="AB41" i="15"/>
  <c r="AB38" i="15"/>
  <c r="AB46" i="15"/>
  <c r="AB39" i="15"/>
  <c r="AB48" i="15"/>
  <c r="AB42" i="15"/>
  <c r="AB31" i="15"/>
  <c r="AB32" i="15"/>
  <c r="AB30" i="15"/>
  <c r="BD4" i="15"/>
  <c r="BD16" i="15"/>
  <c r="BD8" i="15"/>
  <c r="BC18" i="15"/>
  <c r="BD22" i="15"/>
  <c r="BD15" i="15"/>
  <c r="BD7" i="15"/>
  <c r="BC17" i="15"/>
  <c r="BC6" i="15"/>
  <c r="BC10" i="15"/>
  <c r="BC14" i="15"/>
  <c r="BD20" i="15"/>
  <c r="BD12" i="15"/>
  <c r="BC22" i="15"/>
  <c r="BC4" i="15"/>
  <c r="BD19" i="15"/>
  <c r="BD11" i="15"/>
  <c r="BC21" i="15"/>
  <c r="BC13" i="15"/>
  <c r="BC5" i="15"/>
  <c r="BC9" i="15"/>
  <c r="BD18" i="15"/>
  <c r="BD14" i="15"/>
  <c r="BD10" i="15"/>
  <c r="BD6" i="15"/>
  <c r="BC20" i="15"/>
  <c r="BC16" i="15"/>
  <c r="BC12" i="15"/>
  <c r="BC8" i="15"/>
  <c r="BD21" i="15"/>
  <c r="BD17" i="15"/>
  <c r="BD13" i="15"/>
  <c r="BD9" i="15"/>
  <c r="BC19" i="15"/>
  <c r="BC15" i="15"/>
  <c r="BC11" i="15"/>
  <c r="B72" i="27" l="1"/>
  <c r="C69" i="27" s="1"/>
  <c r="C71" i="27" l="1"/>
  <c r="C53" i="27" l="1"/>
  <c r="C56" i="27"/>
  <c r="C60" i="27"/>
  <c r="C64" i="27"/>
  <c r="C68" i="27"/>
  <c r="C65" i="27"/>
  <c r="C59" i="27"/>
  <c r="C57" i="27"/>
  <c r="C61" i="27"/>
  <c r="C54" i="27"/>
  <c r="C58" i="27"/>
  <c r="C62" i="27"/>
  <c r="C66" i="27"/>
  <c r="C70" i="27"/>
  <c r="C55" i="27"/>
  <c r="C63" i="27"/>
  <c r="C67" i="27"/>
  <c r="BC23" i="15" l="1"/>
  <c r="F53" i="26" l="1"/>
  <c r="F54" i="26"/>
  <c r="F55" i="26"/>
  <c r="F56" i="26"/>
  <c r="F57" i="26"/>
  <c r="F58" i="26"/>
  <c r="F59" i="26"/>
  <c r="F60" i="26"/>
  <c r="F61" i="26"/>
  <c r="F63" i="26"/>
  <c r="F52" i="26"/>
  <c r="F71" i="26" l="1"/>
  <c r="F40" i="26"/>
  <c r="F72" i="26" l="1"/>
  <c r="G70" i="26"/>
  <c r="Y49" i="15" l="1"/>
  <c r="Z31" i="15" l="1"/>
  <c r="Z46" i="15"/>
  <c r="Z42" i="15"/>
  <c r="Z38" i="15"/>
  <c r="Z34" i="15"/>
  <c r="Z30" i="15"/>
  <c r="Z45" i="15"/>
  <c r="Z41" i="15"/>
  <c r="Z37" i="15"/>
  <c r="Z33" i="15"/>
  <c r="Z44" i="15"/>
  <c r="Z40" i="15"/>
  <c r="Z32" i="15"/>
  <c r="Z48" i="15"/>
  <c r="Z36" i="15"/>
  <c r="Z47" i="15"/>
  <c r="Z43" i="15"/>
  <c r="Z39" i="15"/>
  <c r="Z35" i="15"/>
  <c r="AB49" i="15" l="1"/>
  <c r="BD23" i="15"/>
  <c r="Z49" i="15"/>
  <c r="W30" i="15"/>
  <c r="AX8" i="15"/>
  <c r="AX4" i="15"/>
  <c r="AX21" i="15"/>
  <c r="AX13" i="15"/>
  <c r="AW8" i="15"/>
  <c r="W37" i="15"/>
  <c r="W40" i="15"/>
  <c r="W47" i="15"/>
  <c r="W45" i="15"/>
  <c r="W39" i="15"/>
  <c r="W44" i="15"/>
  <c r="AX22" i="15"/>
  <c r="AX5" i="15"/>
  <c r="AX10" i="15"/>
  <c r="F38" i="26" l="1"/>
  <c r="W49" i="15"/>
  <c r="AX23" i="15"/>
  <c r="AW23" i="15"/>
  <c r="AY5" i="15" l="1"/>
  <c r="AZ8" i="15"/>
  <c r="X34" i="15"/>
  <c r="AY4" i="15"/>
  <c r="AY14" i="15"/>
  <c r="X36" i="15"/>
  <c r="X47" i="15"/>
  <c r="X41" i="15"/>
  <c r="X31" i="15"/>
  <c r="AY22" i="15"/>
  <c r="AY11" i="15"/>
  <c r="AY18" i="15"/>
  <c r="AY8" i="15"/>
  <c r="AY16" i="15"/>
  <c r="AY6" i="15"/>
  <c r="AY19" i="15"/>
  <c r="AY12" i="15"/>
  <c r="X45" i="15"/>
  <c r="X40" i="15"/>
  <c r="X35" i="15"/>
  <c r="X30" i="15"/>
  <c r="X44" i="15"/>
  <c r="X39" i="15"/>
  <c r="X33" i="15"/>
  <c r="X48" i="15"/>
  <c r="X43" i="15"/>
  <c r="X37" i="15"/>
  <c r="X32" i="15"/>
  <c r="X46" i="15"/>
  <c r="X42" i="15"/>
  <c r="X38" i="15"/>
  <c r="AY7" i="15"/>
  <c r="AY20" i="15"/>
  <c r="AY15" i="15"/>
  <c r="AY10" i="15"/>
  <c r="AZ4" i="15"/>
  <c r="AZ19" i="15"/>
  <c r="AZ15" i="15"/>
  <c r="AZ11" i="15"/>
  <c r="AZ7" i="15"/>
  <c r="AZ22" i="15"/>
  <c r="AZ18" i="15"/>
  <c r="AZ14" i="15"/>
  <c r="AZ10" i="15"/>
  <c r="AZ6" i="15"/>
  <c r="AZ21" i="15"/>
  <c r="AZ17" i="15"/>
  <c r="AZ13" i="15"/>
  <c r="AZ9" i="15"/>
  <c r="AZ5" i="15"/>
  <c r="AY21" i="15"/>
  <c r="AY17" i="15"/>
  <c r="AY13" i="15"/>
  <c r="AY9" i="15"/>
  <c r="AZ20" i="15"/>
  <c r="AZ16" i="15"/>
  <c r="AZ12" i="15"/>
  <c r="D72" i="27"/>
  <c r="E57" i="27" l="1"/>
  <c r="E59" i="27"/>
  <c r="E58" i="27"/>
  <c r="C43" i="27"/>
  <c r="C47" i="27"/>
  <c r="C44" i="27"/>
  <c r="C48" i="27"/>
  <c r="C42" i="27"/>
  <c r="C46" i="27"/>
  <c r="C41" i="27"/>
  <c r="C45" i="27"/>
  <c r="E53" i="27"/>
  <c r="E54" i="27"/>
  <c r="E63" i="27"/>
  <c r="E67" i="27"/>
  <c r="E71" i="27"/>
  <c r="E61" i="27"/>
  <c r="E69" i="27"/>
  <c r="E62" i="27"/>
  <c r="E70" i="27"/>
  <c r="E55" i="27"/>
  <c r="E60" i="27"/>
  <c r="E64" i="27"/>
  <c r="E68" i="27"/>
  <c r="E56" i="27"/>
  <c r="E65" i="27"/>
  <c r="E66" i="27"/>
  <c r="C31" i="27"/>
  <c r="C32" i="27"/>
  <c r="C36" i="27"/>
  <c r="C40" i="27"/>
  <c r="C30" i="27"/>
  <c r="C34" i="27"/>
  <c r="C38" i="27"/>
  <c r="C35" i="27"/>
  <c r="C39" i="27"/>
  <c r="C33" i="27"/>
  <c r="C37" i="27"/>
  <c r="X49" i="15"/>
  <c r="AY23" i="15"/>
  <c r="AZ23" i="15"/>
  <c r="C72" i="27" l="1"/>
  <c r="E72" i="27"/>
  <c r="D25" i="27" l="1"/>
  <c r="H25" i="27" l="1"/>
  <c r="D7" i="25" l="1"/>
  <c r="D8" i="25"/>
  <c r="D9" i="25"/>
  <c r="C49" i="27" l="1"/>
  <c r="D10" i="25"/>
  <c r="E30" i="27" l="1"/>
  <c r="E49" i="27" l="1"/>
  <c r="U49" i="15" l="1"/>
  <c r="AT23" i="15"/>
  <c r="AV21" i="15" s="1"/>
  <c r="AS23" i="15"/>
  <c r="F39" i="26"/>
  <c r="AU6" i="15" l="1"/>
  <c r="AV6" i="15"/>
  <c r="V31" i="15"/>
  <c r="V35" i="15"/>
  <c r="V39" i="15"/>
  <c r="V43" i="15"/>
  <c r="V47" i="15"/>
  <c r="V32" i="15"/>
  <c r="V36" i="15"/>
  <c r="V40" i="15"/>
  <c r="V44" i="15"/>
  <c r="V48" i="15"/>
  <c r="V33" i="15"/>
  <c r="V37" i="15"/>
  <c r="V41" i="15"/>
  <c r="V45" i="15"/>
  <c r="V30" i="15"/>
  <c r="V34" i="15"/>
  <c r="V38" i="15"/>
  <c r="V42" i="15"/>
  <c r="V46" i="15"/>
  <c r="AV9" i="15"/>
  <c r="AV17" i="15"/>
  <c r="AV5" i="15"/>
  <c r="AV13" i="15"/>
  <c r="AU4" i="15"/>
  <c r="AU19" i="15"/>
  <c r="AU15" i="15"/>
  <c r="AU11" i="15"/>
  <c r="AU7" i="15"/>
  <c r="AV4" i="15"/>
  <c r="AV19" i="15"/>
  <c r="AV15" i="15"/>
  <c r="AV11" i="15"/>
  <c r="AV7" i="15"/>
  <c r="AU21" i="15"/>
  <c r="AU17" i="15"/>
  <c r="AU13" i="15"/>
  <c r="AU9" i="15"/>
  <c r="AU5" i="15"/>
  <c r="AU20" i="15"/>
  <c r="AU16" i="15"/>
  <c r="AU12" i="15"/>
  <c r="AU8" i="15"/>
  <c r="AV20" i="15"/>
  <c r="AV16" i="15"/>
  <c r="AV12" i="15"/>
  <c r="AV8" i="15"/>
  <c r="AU22" i="15"/>
  <c r="AU18" i="15"/>
  <c r="AU14" i="15"/>
  <c r="AU10" i="15"/>
  <c r="AV22" i="15"/>
  <c r="AV18" i="15"/>
  <c r="AV14" i="15"/>
  <c r="AV10" i="15"/>
  <c r="V49" i="15" l="1"/>
  <c r="AU23" i="15"/>
  <c r="AV23" i="15"/>
  <c r="F37" i="26" l="1"/>
  <c r="F36" i="26"/>
  <c r="S49" i="15"/>
  <c r="T33" i="15" s="1"/>
  <c r="I25" i="27"/>
  <c r="G25" i="27"/>
  <c r="F25" i="27"/>
  <c r="E25" i="27"/>
  <c r="AO23" i="15"/>
  <c r="AQ6" i="15" s="1"/>
  <c r="AP23" i="15"/>
  <c r="AR8" i="15" s="1"/>
  <c r="O40" i="15"/>
  <c r="Q49" i="15"/>
  <c r="R34" i="15" s="1"/>
  <c r="AI23" i="15"/>
  <c r="AK8" i="15" s="1"/>
  <c r="AJ23" i="15"/>
  <c r="AL5" i="15" s="1"/>
  <c r="AM6" i="15"/>
  <c r="AM12" i="15"/>
  <c r="AM13" i="15"/>
  <c r="AM15" i="15"/>
  <c r="AM16" i="15"/>
  <c r="AM17" i="15"/>
  <c r="AM18" i="15"/>
  <c r="AM20" i="15"/>
  <c r="AM22" i="15"/>
  <c r="AM21" i="15"/>
  <c r="AM19" i="15"/>
  <c r="AM14" i="15"/>
  <c r="AM11" i="15"/>
  <c r="AM10" i="15"/>
  <c r="AM9" i="15"/>
  <c r="AM8" i="15"/>
  <c r="AM5" i="15"/>
  <c r="AM7" i="15"/>
  <c r="AM4" i="15"/>
  <c r="O47" i="15"/>
  <c r="O42" i="15"/>
  <c r="O41" i="15"/>
  <c r="O39" i="15"/>
  <c r="O38" i="15"/>
  <c r="O37" i="15"/>
  <c r="O36" i="15"/>
  <c r="O31" i="15"/>
  <c r="O30" i="15"/>
  <c r="AD22" i="15"/>
  <c r="AD13" i="15"/>
  <c r="AG13" i="15" s="1"/>
  <c r="AD11" i="15"/>
  <c r="AD10" i="15"/>
  <c r="AD9" i="15"/>
  <c r="AG9" i="15" s="1"/>
  <c r="AD8" i="15"/>
  <c r="AD7" i="15"/>
  <c r="AD6" i="15"/>
  <c r="AG6" i="15" s="1"/>
  <c r="AC22" i="15"/>
  <c r="AC8" i="15"/>
  <c r="O45" i="15"/>
  <c r="AD14" i="15"/>
  <c r="AD12" i="15"/>
  <c r="AG12" i="15" s="1"/>
  <c r="AC21" i="15"/>
  <c r="AC7" i="15"/>
  <c r="O48" i="15"/>
  <c r="O33" i="15"/>
  <c r="O32" i="15"/>
  <c r="AD21" i="15"/>
  <c r="AC14" i="15"/>
  <c r="AC5" i="15"/>
  <c r="AG5" i="15" s="1"/>
  <c r="AC10" i="15"/>
  <c r="AD20" i="15"/>
  <c r="AG20" i="15" s="1"/>
  <c r="AC11" i="15"/>
  <c r="AD4" i="15"/>
  <c r="AG4" i="15" s="1"/>
  <c r="AG15" i="15"/>
  <c r="AG16" i="15"/>
  <c r="AG17" i="15"/>
  <c r="AG18" i="15"/>
  <c r="AG19" i="15"/>
  <c r="F29" i="26"/>
  <c r="F30" i="26"/>
  <c r="F31" i="26"/>
  <c r="F32" i="26"/>
  <c r="F33" i="26"/>
  <c r="F34" i="26"/>
  <c r="F35" i="26"/>
  <c r="X8" i="15"/>
  <c r="X14" i="15"/>
  <c r="X7" i="15"/>
  <c r="X11" i="15"/>
  <c r="X12" i="15"/>
  <c r="AA12" i="15" s="1"/>
  <c r="X22" i="15"/>
  <c r="X10" i="15"/>
  <c r="W8" i="15"/>
  <c r="W7" i="15"/>
  <c r="W21" i="15"/>
  <c r="W22" i="15"/>
  <c r="W10" i="15"/>
  <c r="M30" i="15"/>
  <c r="M40" i="15"/>
  <c r="M33" i="15"/>
  <c r="M47" i="15"/>
  <c r="M45" i="15"/>
  <c r="M37" i="15"/>
  <c r="M38" i="15"/>
  <c r="M39" i="15"/>
  <c r="M41" i="15"/>
  <c r="M44" i="15"/>
  <c r="M42" i="15"/>
  <c r="M34" i="15"/>
  <c r="M32" i="15"/>
  <c r="M43" i="15"/>
  <c r="M48" i="15"/>
  <c r="M31" i="15"/>
  <c r="X4" i="15"/>
  <c r="AA4" i="15" s="1"/>
  <c r="X6" i="15"/>
  <c r="X21" i="15"/>
  <c r="X19" i="15"/>
  <c r="AA19" i="15" s="1"/>
  <c r="X13" i="15"/>
  <c r="AA13" i="15" s="1"/>
  <c r="X18" i="15"/>
  <c r="AA18" i="15" s="1"/>
  <c r="W14" i="15"/>
  <c r="X5" i="15"/>
  <c r="AA5" i="15" s="1"/>
  <c r="W11" i="15"/>
  <c r="W6" i="15"/>
  <c r="AA9" i="15"/>
  <c r="AA15" i="15"/>
  <c r="AA16" i="15"/>
  <c r="AA17" i="15"/>
  <c r="AA20" i="15"/>
  <c r="AG22" i="15" l="1"/>
  <c r="G47" i="26"/>
  <c r="AG8" i="15"/>
  <c r="AK4" i="15"/>
  <c r="AK16" i="15"/>
  <c r="AL8" i="15"/>
  <c r="AK17" i="15"/>
  <c r="AK10" i="15"/>
  <c r="R33" i="15"/>
  <c r="R35" i="15"/>
  <c r="AK11" i="15"/>
  <c r="R43" i="15"/>
  <c r="AK20" i="15"/>
  <c r="AK21" i="15"/>
  <c r="AK14" i="15"/>
  <c r="AK5" i="15"/>
  <c r="AK9" i="15"/>
  <c r="AK22" i="15"/>
  <c r="AK19" i="15"/>
  <c r="AK12" i="15"/>
  <c r="AK13" i="15"/>
  <c r="AK6" i="15"/>
  <c r="AK15" i="15"/>
  <c r="R40" i="15"/>
  <c r="AA6" i="15"/>
  <c r="R30" i="15"/>
  <c r="AL7" i="15"/>
  <c r="AA14" i="15"/>
  <c r="AA21" i="15"/>
  <c r="AA22" i="15"/>
  <c r="AK18" i="15"/>
  <c r="AK7" i="15"/>
  <c r="R46" i="15"/>
  <c r="AL21" i="15"/>
  <c r="R44" i="15"/>
  <c r="T42" i="15"/>
  <c r="R38" i="15"/>
  <c r="R48" i="15"/>
  <c r="T46" i="15"/>
  <c r="AL9" i="15"/>
  <c r="T38" i="15"/>
  <c r="AA8" i="15"/>
  <c r="AG14" i="15"/>
  <c r="W23" i="15"/>
  <c r="Y12" i="15" s="1"/>
  <c r="AA7" i="15"/>
  <c r="R37" i="15"/>
  <c r="AG21" i="15"/>
  <c r="M49" i="15"/>
  <c r="N39" i="15" s="1"/>
  <c r="AA10" i="15"/>
  <c r="AL15" i="15"/>
  <c r="R47" i="15"/>
  <c r="R32" i="15"/>
  <c r="R42" i="15"/>
  <c r="AA11" i="15"/>
  <c r="O49" i="15"/>
  <c r="P42" i="15" s="1"/>
  <c r="AL12" i="15"/>
  <c r="AL13" i="15"/>
  <c r="AL14" i="15"/>
  <c r="AL11" i="15"/>
  <c r="AL6" i="15"/>
  <c r="AQ4" i="15"/>
  <c r="T45" i="15"/>
  <c r="T41" i="15"/>
  <c r="T36" i="15"/>
  <c r="T32" i="15"/>
  <c r="AC23" i="15"/>
  <c r="AE8" i="15" s="1"/>
  <c r="AL16" i="15"/>
  <c r="AL18" i="15"/>
  <c r="AL19" i="15"/>
  <c r="AL22" i="15"/>
  <c r="AL17" i="15"/>
  <c r="R39" i="15"/>
  <c r="R41" i="15"/>
  <c r="R36" i="15"/>
  <c r="R45" i="15"/>
  <c r="R31" i="15"/>
  <c r="T48" i="15"/>
  <c r="T44" i="15"/>
  <c r="T40" i="15"/>
  <c r="T35" i="15"/>
  <c r="T31" i="15"/>
  <c r="AL20" i="15"/>
  <c r="AL4" i="15"/>
  <c r="AL10" i="15"/>
  <c r="AM23" i="15"/>
  <c r="AN9" i="15" s="1"/>
  <c r="T47" i="15"/>
  <c r="T43" i="15"/>
  <c r="T39" i="15"/>
  <c r="T34" i="15"/>
  <c r="T30" i="15"/>
  <c r="X23" i="15"/>
  <c r="Z21" i="15" s="1"/>
  <c r="AG10" i="15"/>
  <c r="AG7" i="15"/>
  <c r="AQ17" i="15"/>
  <c r="AD23" i="15"/>
  <c r="AF7" i="15" s="1"/>
  <c r="AG11" i="15"/>
  <c r="AR4" i="15"/>
  <c r="AQ13" i="15"/>
  <c r="AQ9" i="15"/>
  <c r="AQ21" i="15"/>
  <c r="AQ5" i="15"/>
  <c r="T37" i="15"/>
  <c r="AR11" i="15"/>
  <c r="AQ20" i="15"/>
  <c r="AQ16" i="15"/>
  <c r="AQ12" i="15"/>
  <c r="AQ8" i="15"/>
  <c r="AR22" i="15"/>
  <c r="AR18" i="15"/>
  <c r="AR14" i="15"/>
  <c r="AR10" i="15"/>
  <c r="AR6" i="15"/>
  <c r="AR15" i="15"/>
  <c r="AQ19" i="15"/>
  <c r="AQ15" i="15"/>
  <c r="AQ11" i="15"/>
  <c r="AQ7" i="15"/>
  <c r="AR21" i="15"/>
  <c r="AR17" i="15"/>
  <c r="AR13" i="15"/>
  <c r="AR9" i="15"/>
  <c r="AR5" i="15"/>
  <c r="AR19" i="15"/>
  <c r="AR7" i="15"/>
  <c r="AQ22" i="15"/>
  <c r="AQ18" i="15"/>
  <c r="AQ14" i="15"/>
  <c r="AQ10" i="15"/>
  <c r="AR20" i="15"/>
  <c r="AR16" i="15"/>
  <c r="AR12" i="15"/>
  <c r="F47" i="26" l="1"/>
  <c r="P44" i="15"/>
  <c r="AN18" i="15"/>
  <c r="AE5" i="15"/>
  <c r="AN22" i="15"/>
  <c r="AE12" i="15"/>
  <c r="AN13" i="15"/>
  <c r="AK23" i="15"/>
  <c r="AE11" i="15"/>
  <c r="N43" i="15"/>
  <c r="Y16" i="15"/>
  <c r="AN10" i="15"/>
  <c r="AE18" i="15"/>
  <c r="AE15" i="15"/>
  <c r="N45" i="15"/>
  <c r="Y8" i="15"/>
  <c r="Y9" i="15"/>
  <c r="AN16" i="15"/>
  <c r="AN21" i="15"/>
  <c r="AE19" i="15"/>
  <c r="AE4" i="15"/>
  <c r="Y22" i="15"/>
  <c r="Y17" i="15"/>
  <c r="AN11" i="15"/>
  <c r="AN12" i="15"/>
  <c r="AN4" i="15"/>
  <c r="N41" i="15"/>
  <c r="N46" i="15"/>
  <c r="N47" i="15"/>
  <c r="Y21" i="15"/>
  <c r="Y7" i="15"/>
  <c r="Y14" i="15"/>
  <c r="Y10" i="15"/>
  <c r="Y19" i="15"/>
  <c r="Y15" i="15"/>
  <c r="Y6" i="15"/>
  <c r="N31" i="15"/>
  <c r="AN6" i="15"/>
  <c r="AN19" i="15"/>
  <c r="AE9" i="15"/>
  <c r="AE6" i="15"/>
  <c r="AE21" i="15"/>
  <c r="N44" i="15"/>
  <c r="N35" i="15"/>
  <c r="N34" i="15"/>
  <c r="AA23" i="15"/>
  <c r="AB7" i="15" s="1"/>
  <c r="Y11" i="15"/>
  <c r="Y18" i="15"/>
  <c r="Y20" i="15"/>
  <c r="N33" i="15"/>
  <c r="N42" i="15"/>
  <c r="Y4" i="15"/>
  <c r="P32" i="15"/>
  <c r="P48" i="15"/>
  <c r="P35" i="15"/>
  <c r="AN8" i="15"/>
  <c r="AN15" i="15"/>
  <c r="AN17" i="15"/>
  <c r="AE10" i="15"/>
  <c r="AE17" i="15"/>
  <c r="AE13" i="15"/>
  <c r="AE7" i="15"/>
  <c r="P46" i="15"/>
  <c r="N37" i="15"/>
  <c r="N48" i="15"/>
  <c r="N30" i="15"/>
  <c r="Y5" i="15"/>
  <c r="Y13" i="15"/>
  <c r="AN5" i="15"/>
  <c r="AN14" i="15"/>
  <c r="AN20" i="15"/>
  <c r="AN7" i="15"/>
  <c r="AE14" i="15"/>
  <c r="AE22" i="15"/>
  <c r="AE20" i="15"/>
  <c r="AE16" i="15"/>
  <c r="N32" i="15"/>
  <c r="N36" i="15"/>
  <c r="N38" i="15"/>
  <c r="N40" i="15"/>
  <c r="P39" i="15"/>
  <c r="P40" i="15"/>
  <c r="P37" i="15"/>
  <c r="P41" i="15"/>
  <c r="P47" i="15"/>
  <c r="P38" i="15"/>
  <c r="P34" i="15"/>
  <c r="P43" i="15"/>
  <c r="P31" i="15"/>
  <c r="P30" i="15"/>
  <c r="P36" i="15"/>
  <c r="P33" i="15"/>
  <c r="P45" i="15"/>
  <c r="R49" i="15"/>
  <c r="T49" i="15"/>
  <c r="Z12" i="15"/>
  <c r="AF11" i="15"/>
  <c r="AL23" i="15"/>
  <c r="Z7" i="15"/>
  <c r="Z22" i="15"/>
  <c r="Z5" i="15"/>
  <c r="AF12" i="15"/>
  <c r="AF20" i="15"/>
  <c r="AF15" i="15"/>
  <c r="AF9" i="15"/>
  <c r="AF14" i="15"/>
  <c r="AF17" i="15"/>
  <c r="AF18" i="15"/>
  <c r="AF10" i="15"/>
  <c r="AF4" i="15"/>
  <c r="AF13" i="15"/>
  <c r="AF22" i="15"/>
  <c r="AF16" i="15"/>
  <c r="AF8" i="15"/>
  <c r="AF6" i="15"/>
  <c r="AF5" i="15"/>
  <c r="AF21" i="15"/>
  <c r="AF19" i="15"/>
  <c r="AG23" i="15"/>
  <c r="Z14" i="15"/>
  <c r="Z20" i="15"/>
  <c r="Z11" i="15"/>
  <c r="Z19" i="15"/>
  <c r="Z13" i="15"/>
  <c r="Z8" i="15"/>
  <c r="Z16" i="15"/>
  <c r="Z17" i="15"/>
  <c r="Z4" i="15"/>
  <c r="Z10" i="15"/>
  <c r="Z15" i="15"/>
  <c r="Z9" i="15"/>
  <c r="Z18" i="15"/>
  <c r="Z6" i="15"/>
  <c r="AB21" i="15" l="1"/>
  <c r="AB22" i="15"/>
  <c r="AB20" i="15"/>
  <c r="AB13" i="15"/>
  <c r="AB19" i="15"/>
  <c r="AB9" i="15"/>
  <c r="AB8" i="15"/>
  <c r="AB16" i="15"/>
  <c r="AB18" i="15"/>
  <c r="AB4" i="15"/>
  <c r="AB6" i="15"/>
  <c r="AB14" i="15"/>
  <c r="AB11" i="15"/>
  <c r="AE23" i="15"/>
  <c r="AN23" i="15"/>
  <c r="Y23" i="15"/>
  <c r="AB5" i="15"/>
  <c r="AB10" i="15"/>
  <c r="AB15" i="15"/>
  <c r="AB17" i="15"/>
  <c r="AB12" i="15"/>
  <c r="P49" i="15"/>
  <c r="Z23" i="15"/>
  <c r="AF23" i="15"/>
  <c r="AH20" i="15"/>
  <c r="AH15" i="15"/>
  <c r="AH4" i="15"/>
  <c r="AH12" i="15"/>
  <c r="AH6" i="15"/>
  <c r="AH21" i="15"/>
  <c r="AH13" i="15"/>
  <c r="AH19" i="15"/>
  <c r="AH17" i="15"/>
  <c r="AH5" i="15"/>
  <c r="AH9" i="15"/>
  <c r="AH16" i="15"/>
  <c r="AH18" i="15"/>
  <c r="AH14" i="15"/>
  <c r="AH8" i="15"/>
  <c r="AH22" i="15"/>
  <c r="AH11" i="15"/>
  <c r="AH7" i="15"/>
  <c r="AH10" i="15"/>
  <c r="AH23" i="15" l="1"/>
  <c r="BG18" i="15" l="1"/>
  <c r="BU23" i="15" l="1"/>
  <c r="BH5" i="15"/>
  <c r="BG14" i="15"/>
  <c r="BG20" i="15"/>
  <c r="BG11" i="15"/>
  <c r="BH6" i="15"/>
  <c r="BG21" i="15"/>
  <c r="BH9" i="15"/>
  <c r="BH13" i="15"/>
  <c r="BH10" i="15"/>
  <c r="BH16" i="15"/>
  <c r="BH18" i="15"/>
  <c r="BH17" i="15"/>
  <c r="BH4" i="15"/>
  <c r="BH20" i="15"/>
  <c r="BG13" i="15"/>
  <c r="BH19" i="15"/>
  <c r="BH12" i="15"/>
  <c r="BH14" i="15"/>
  <c r="BH7" i="15"/>
  <c r="BH11" i="15"/>
  <c r="BH21" i="15"/>
  <c r="BH15" i="15"/>
  <c r="BH22" i="15"/>
  <c r="BH8" i="15"/>
  <c r="BG19" i="15"/>
  <c r="BG9" i="15"/>
  <c r="BG16" i="15"/>
  <c r="BG5" i="15"/>
  <c r="BG12" i="15"/>
  <c r="BG4" i="15"/>
  <c r="BG15" i="15"/>
  <c r="BG7" i="15"/>
  <c r="BG22" i="15"/>
  <c r="BG6" i="15"/>
  <c r="BG17" i="15"/>
  <c r="BG8" i="15"/>
  <c r="BG10" i="15"/>
  <c r="D78" i="15" l="1"/>
  <c r="E81" i="15"/>
  <c r="E57" i="15"/>
  <c r="BV7" i="15"/>
  <c r="BH23" i="15"/>
  <c r="BV4" i="15"/>
  <c r="BV15" i="15"/>
  <c r="BV8" i="15"/>
  <c r="BV18" i="15"/>
  <c r="BV11" i="15"/>
  <c r="BV22" i="15"/>
  <c r="BV9" i="15"/>
  <c r="BV6" i="15"/>
  <c r="BV13" i="15"/>
  <c r="BV10" i="15"/>
  <c r="BV19" i="15"/>
  <c r="BV21" i="15"/>
  <c r="BV20" i="15"/>
  <c r="BV12" i="15"/>
  <c r="D79" i="15"/>
  <c r="D58" i="15"/>
  <c r="BV16" i="15"/>
  <c r="BG23" i="15"/>
  <c r="BV5" i="15"/>
  <c r="BV14" i="15"/>
  <c r="BV17" i="15"/>
  <c r="D80" i="15"/>
  <c r="BV26" i="15" l="1"/>
  <c r="D81" i="15"/>
  <c r="D68" i="15"/>
  <c r="BV23" i="15"/>
  <c r="D71" i="15"/>
  <c r="D70" i="15"/>
  <c r="D60" i="15"/>
  <c r="D72" i="15"/>
  <c r="D66" i="15"/>
  <c r="D64" i="15"/>
  <c r="D69" i="15"/>
  <c r="D61" i="15"/>
  <c r="D62" i="15"/>
  <c r="D55" i="15"/>
  <c r="D73" i="15"/>
  <c r="D63" i="15"/>
  <c r="D57" i="15"/>
  <c r="D59" i="15"/>
  <c r="D67" i="15"/>
  <c r="D65" i="15"/>
  <c r="E56" i="15" l="1"/>
  <c r="D74" i="15"/>
  <c r="B23" i="26"/>
</calcChain>
</file>

<file path=xl/sharedStrings.xml><?xml version="1.0" encoding="utf-8"?>
<sst xmlns="http://schemas.openxmlformats.org/spreadsheetml/2006/main" count="562" uniqueCount="160">
  <si>
    <t>Localidad</t>
  </si>
  <si>
    <t>Bosa</t>
  </si>
  <si>
    <t>Kennedy</t>
  </si>
  <si>
    <t>Suba</t>
  </si>
  <si>
    <t>Usme</t>
  </si>
  <si>
    <t>VIP</t>
  </si>
  <si>
    <t>VIS</t>
  </si>
  <si>
    <t>Engativa</t>
  </si>
  <si>
    <t>Tunjuelito</t>
  </si>
  <si>
    <t>Total por Tipo</t>
  </si>
  <si>
    <t>Total</t>
  </si>
  <si>
    <t>%</t>
  </si>
  <si>
    <t>Usaquén</t>
  </si>
  <si>
    <t>Chapinero</t>
  </si>
  <si>
    <t>Santa Fe</t>
  </si>
  <si>
    <t>San Cristóbal</t>
  </si>
  <si>
    <t>Fontibon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</si>
  <si>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</si>
  <si>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</si>
  <si>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</si>
  <si>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</si>
  <si>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</si>
  <si>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</si>
  <si>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</t>
  </si>
  <si>
    <t>Ciudad Bolívar</t>
  </si>
  <si>
    <t>Viendas Habilitadas tipo de vivienda No VIS</t>
  </si>
  <si>
    <t>% VIP</t>
  </si>
  <si>
    <t xml:space="preserve">Fuente: Subdirecció de Información Sectorial - SDHT. </t>
  </si>
  <si>
    <t>% VIS</t>
  </si>
  <si>
    <t>Año</t>
  </si>
  <si>
    <t>INDICADOR  DE VIVIENDAS HABILITADAS</t>
  </si>
  <si>
    <t>Viviendas Habilitadas</t>
  </si>
  <si>
    <t>Mensual</t>
  </si>
  <si>
    <t>Tipo de Vivienda</t>
  </si>
  <si>
    <t xml:space="preserve">No VIS </t>
  </si>
  <si>
    <t>% Total Vip</t>
  </si>
  <si>
    <t>% Total Vis</t>
  </si>
  <si>
    <t>% Total No Vis</t>
  </si>
  <si>
    <t>Total viviendas VIP/VIS</t>
  </si>
  <si>
    <t>% No Vis</t>
  </si>
  <si>
    <t>No. VIP/VIS</t>
  </si>
  <si>
    <t>Participación %</t>
  </si>
  <si>
    <t>Bogotá D.C.</t>
  </si>
  <si>
    <t xml:space="preserve">Viviendas Habilitadas por gestión pública y privada, según tipo de vivienda VIP y VIS  </t>
  </si>
  <si>
    <t>VIP/VIS 2017</t>
  </si>
  <si>
    <t>Vivienda</t>
  </si>
  <si>
    <t>% Total Viv VIP/VIS</t>
  </si>
  <si>
    <t>VIP/VIS 2018</t>
  </si>
  <si>
    <t>%VIP/VIS 2018</t>
  </si>
  <si>
    <t>Tabla 1. Viviendas habilitadas por tipo de vivienda</t>
  </si>
  <si>
    <t>Tabla 2. Viviendas habilitadas por tipo de vivienda</t>
  </si>
  <si>
    <t>Tabla 3. Viviendas habilitadas por tipo de vivienda</t>
  </si>
  <si>
    <t xml:space="preserve">TOTAL </t>
  </si>
  <si>
    <t>No Vis</t>
  </si>
  <si>
    <t>Vip/Vis</t>
  </si>
  <si>
    <t>Tipo</t>
  </si>
  <si>
    <t>Unidades</t>
  </si>
  <si>
    <t>VIP/VIS 2019</t>
  </si>
  <si>
    <t>%VIP/VIS 2019</t>
  </si>
  <si>
    <t>% Total VIP/VIS</t>
  </si>
  <si>
    <t>Año Corrido</t>
  </si>
  <si>
    <t>Promedio</t>
  </si>
  <si>
    <t>Vis</t>
  </si>
  <si>
    <t>Vip</t>
  </si>
  <si>
    <t>% Total Viv vip/vis</t>
  </si>
  <si>
    <t>Diferencia</t>
  </si>
  <si>
    <t>USAQUÉN</t>
  </si>
  <si>
    <t>CHAPINERO</t>
  </si>
  <si>
    <t>SANTA FE</t>
  </si>
  <si>
    <t>SAN CRISTÓBAL</t>
  </si>
  <si>
    <t>USME</t>
  </si>
  <si>
    <t>TUNJUELITO</t>
  </si>
  <si>
    <t>BOSA</t>
  </si>
  <si>
    <t>KENNEDY</t>
  </si>
  <si>
    <t>FONTIBON</t>
  </si>
  <si>
    <t>ENGATIVA</t>
  </si>
  <si>
    <t>SUBA</t>
  </si>
  <si>
    <t>BARRIOS UNIDOS</t>
  </si>
  <si>
    <t>TEUSAQUILLO</t>
  </si>
  <si>
    <t>LOS MÁRTIRES</t>
  </si>
  <si>
    <t>ANTONIO NARIÑO</t>
  </si>
  <si>
    <t>PUENTE ARANDA</t>
  </si>
  <si>
    <t>RAFAEL URIBE</t>
  </si>
  <si>
    <t>CIUDAD BOLÍVAR</t>
  </si>
  <si>
    <t>LA CANDELARIA</t>
  </si>
  <si>
    <t>% VIP/VIS 2024</t>
  </si>
  <si>
    <t>No VIS 2024</t>
  </si>
  <si>
    <t>% No VIS 2024</t>
  </si>
  <si>
    <t>vip</t>
  </si>
  <si>
    <t xml:space="preserve">vis </t>
  </si>
  <si>
    <t>no vis</t>
  </si>
  <si>
    <t>NoVis</t>
  </si>
  <si>
    <t xml:space="preserve">No. </t>
  </si>
  <si>
    <t xml:space="preserve">Totales </t>
  </si>
  <si>
    <t>2024-dic</t>
  </si>
  <si>
    <t>VIP/VIS 2024</t>
  </si>
  <si>
    <t xml:space="preserve"> VIP/VIS 2025</t>
  </si>
  <si>
    <t>% VIP/VIS 2025</t>
  </si>
  <si>
    <t>No VIS 2025</t>
  </si>
  <si>
    <t>% No VIS 2025</t>
  </si>
  <si>
    <t>2012-2025 (año-corrido )</t>
  </si>
  <si>
    <t>VIP/VIS</t>
  </si>
  <si>
    <t>Tablas variaciones mes a julio de 2025</t>
  </si>
  <si>
    <t>2012  - 2025 Anual a julio</t>
  </si>
  <si>
    <t>2012 - 2025 (doce meses a julio)</t>
  </si>
  <si>
    <t>2012-2025 (año corrido a julio)</t>
  </si>
  <si>
    <t>Tabla 4. Viviendas habilitadas por tipo de vivienda historico 2012-2025</t>
  </si>
  <si>
    <t>2025*</t>
  </si>
  <si>
    <t>*Julio 2025</t>
  </si>
  <si>
    <t xml:space="preserve">Vis </t>
  </si>
  <si>
    <t>2025-acumulado-diciembre</t>
  </si>
  <si>
    <t>2025-dic</t>
  </si>
  <si>
    <t>Año corrido Viviendas Habilitatas  por localidad-a dic-2024-2025</t>
  </si>
  <si>
    <t>2024 diciembre</t>
  </si>
  <si>
    <t>2025 diciembre</t>
  </si>
  <si>
    <t>Ene-26</t>
  </si>
  <si>
    <t>Feb-26</t>
  </si>
  <si>
    <t>Mar-26</t>
  </si>
  <si>
    <t>2026-acumulado-marzo</t>
  </si>
  <si>
    <t>acumulado Marzo 2026</t>
  </si>
  <si>
    <t>Marzo 2026</t>
  </si>
  <si>
    <t>0</t>
  </si>
  <si>
    <t>2026-Mar</t>
  </si>
  <si>
    <t>Vip-Vis y No Vis 2026 Marzo</t>
  </si>
  <si>
    <t>Marzo-2026</t>
  </si>
  <si>
    <t>% VIP/VIS 2026</t>
  </si>
  <si>
    <t>2026 primer trimeste marzo</t>
  </si>
  <si>
    <t xml:space="preserve"> VIP/VIS 2026</t>
  </si>
  <si>
    <t>% No VIS 2026</t>
  </si>
  <si>
    <t>No VIS 2026</t>
  </si>
  <si>
    <t>2025-enero</t>
  </si>
  <si>
    <t>2025-febrero</t>
  </si>
  <si>
    <t>2025-marzo</t>
  </si>
  <si>
    <t>a marzo 2026</t>
  </si>
  <si>
    <t>enero</t>
  </si>
  <si>
    <t>vip-vis</t>
  </si>
  <si>
    <t xml:space="preserve"> VIP/VIS 2025 Ene-mar</t>
  </si>
  <si>
    <t>% VIP/VIS 2025 Ene-mar</t>
  </si>
  <si>
    <t>Enero 2025</t>
  </si>
  <si>
    <t>Febrero 2025</t>
  </si>
  <si>
    <t>Marzo 2025</t>
  </si>
  <si>
    <t>No VIS 2025 ene-mar</t>
  </si>
  <si>
    <t>% No VIS 2025 ene-mar</t>
  </si>
  <si>
    <t>Primer trimestre 2025</t>
  </si>
  <si>
    <t>Primer trimestre 2026</t>
  </si>
  <si>
    <t>Cambio %</t>
  </si>
  <si>
    <t>Cambio #</t>
  </si>
  <si>
    <t>VIS/VIP 2025 primer trimeste</t>
  </si>
  <si>
    <t>VIS/VIP 2026 primer trimeste</t>
  </si>
  <si>
    <t>NO VIS 2025 primer trimeste</t>
  </si>
  <si>
    <t>NO VIS 2026 primer trimeste</t>
  </si>
  <si>
    <t>Participacion total</t>
  </si>
  <si>
    <t>2025 primer trimeste marzo</t>
  </si>
  <si>
    <t>Total Marzo</t>
  </si>
  <si>
    <t>Datos trimestrales</t>
  </si>
  <si>
    <t>Totales mensuales</t>
  </si>
  <si>
    <t>Enero 2026</t>
  </si>
  <si>
    <t>Febrero 2026</t>
  </si>
  <si>
    <t>Tres localidades</t>
  </si>
  <si>
    <t>Suma localidades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</si>
</sst>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(* #,##0_);_(* \(#,##0\);_(* &quot;-&quot;??_);_(@_)"/>
    <numFmt numFmtId="168" formatCode="#,##0;[Red]#,##0"/>
    <numFmt numFmtId="169" formatCode="0.0"/>
    <numFmt numFmtId="170" formatCode="_(* #,##0.0_);_(* \(#,##0.0\);_(* &quot;-&quot;??_);_(@_)"/>
    <numFmt numFmtId="171" formatCode="#,##0.0;[Red]#,##0.0"/>
    <numFmt numFmtId="172" formatCode="_(* #,##0.0_);_(* \(#,##0.0\);_(* &quot;-&quot;?_);_(@_)"/>
    <numFmt numFmtId="173" formatCode="0;[Red]0"/>
    <numFmt numFmtId="174" formatCode="0.0%"/>
    <numFmt numFmtId="175" formatCode="#,##0.00;[Red]#,##0.00"/>
    <numFmt numFmtId="176" formatCode="_-* #,##0.00\ [$€]_-;\-* #,##0.00\ [$€]_-;_-* &quot;-&quot;??\ [$€]_-;_-@_-"/>
    <numFmt numFmtId="177" formatCode="#,##0.0"/>
    <numFmt numFmtId="178" formatCode="_-* #,##0\ _€_-;\-* #,##0\ _€_-;_-* &quot;-&quot;\ _€_-;_-@_-"/>
    <numFmt numFmtId="179" formatCode="_-* #,##0.00\ _€_-;\-* #,##0.00\ _€_-;_-* &quot;-&quot;??\ _€_-;_-@_-"/>
    <numFmt numFmtId="180" formatCode="&quot;$&quot;\ #,##0.00;[Red]&quot;$&quot;\ \-#,##0.00"/>
    <numFmt numFmtId="181" formatCode="_(&quot;$&quot;\ * #.##0.00_);_(&quot;$&quot;\ * \(#.##0.00\);_(&quot;$&quot;\ * &quot;-&quot;??_);_(@_)"/>
    <numFmt numFmtId="182" formatCode="[$$-240A]#,##0.00;[Red]&quot;(&quot;[$$-240A]#,##0.00&quot;)&quot;"/>
    <numFmt numFmtId="183" formatCode="[$-240A]General"/>
    <numFmt numFmtId="184" formatCode="[$-240A]dddd\,\ dd&quot; de &quot;mmmm&quot; de &quot;yyyy;@"/>
    <numFmt numFmtId="185" formatCode="_(&quot;$&quot;\ * #,##0.00_);_(&quot;$&quot;\ * \(#,##0.00\);_(&quot;$&quot;\ * &quot;-&quot;??_);_(@_)"/>
  </numFmts>
  <fonts count="8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b/>
      <sz val="12"/>
      <color theme="1"/>
      <name val="Gill Sans MT"/>
      <family val="2"/>
    </font>
    <font>
      <b/>
      <u/>
      <sz val="10"/>
      <color theme="1"/>
      <name val="Gill Sans MT"/>
      <family val="2"/>
    </font>
    <font>
      <b/>
      <sz val="11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sz val="8"/>
      <name val="Gill Sans MT"/>
      <family val="2"/>
    </font>
    <font>
      <sz val="8"/>
      <name val="Arial"/>
      <family val="2"/>
    </font>
    <font>
      <b/>
      <sz val="8"/>
      <name val="Gill Sans MT"/>
      <family val="2"/>
    </font>
    <font>
      <b/>
      <sz val="9"/>
      <name val="Gill Sans MT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9"/>
      <name val="Century Gothic"/>
      <family val="2"/>
    </font>
    <font>
      <sz val="11"/>
      <name val="Calibri"/>
      <family val="2"/>
      <scheme val="minor"/>
    </font>
    <font>
      <sz val="11"/>
      <name val="Gill Sans MT"/>
      <family val="2"/>
    </font>
    <font>
      <b/>
      <sz val="12"/>
      <name val="Gill Sans MT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8"/>
      <name val="Times New Roman"/>
      <family val="1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10"/>
      <name val="Calibri"/>
      <family val="2"/>
      <scheme val="minor"/>
    </font>
    <font>
      <b/>
      <sz val="14"/>
      <name val="Arial"/>
      <family val="2"/>
    </font>
    <font>
      <sz val="9"/>
      <name val="Gill Sans MT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9"/>
      <name val="Tw Cen MT"/>
      <family val="2"/>
    </font>
    <font>
      <sz val="8"/>
      <name val="Tw Cen MT"/>
      <family val="2"/>
    </font>
    <font>
      <b/>
      <sz val="8"/>
      <name val="Tw Cen MT"/>
      <family val="2"/>
    </font>
    <font>
      <sz val="8"/>
      <color theme="1"/>
      <name val="Gill Sans MT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b/>
      <i/>
      <sz val="16"/>
      <color theme="1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3"/>
    </font>
    <font>
      <sz val="10"/>
      <color rgb="FF000000"/>
      <name val="Arial1"/>
    </font>
    <font>
      <sz val="11"/>
      <name val="Bookman"/>
    </font>
    <font>
      <b/>
      <i/>
      <sz val="16"/>
      <color rgb="FF000000"/>
      <name val="Arial"/>
      <family val="2"/>
    </font>
    <font>
      <sz val="10"/>
      <color rgb="FF000000"/>
      <name val="Arial2"/>
    </font>
    <font>
      <b/>
      <i/>
      <u/>
      <sz val="11"/>
      <color rgb="FF000000"/>
      <name val="Arial"/>
      <family val="2"/>
    </font>
    <font>
      <sz val="10"/>
      <color rgb="FF000000"/>
      <name val="Gill Sans MT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12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6" applyNumberFormat="0" applyAlignment="0" applyProtection="0"/>
    <xf numFmtId="0" fontId="14" fillId="7" borderId="7" applyNumberFormat="0" applyAlignment="0" applyProtection="0"/>
    <xf numFmtId="0" fontId="15" fillId="7" borderId="6" applyNumberFormat="0" applyAlignment="0" applyProtection="0"/>
    <xf numFmtId="0" fontId="16" fillId="0" borderId="8" applyNumberFormat="0" applyFill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0" borderId="0"/>
    <xf numFmtId="0" fontId="61" fillId="38" borderId="0" applyNumberFormat="0" applyBorder="0" applyAlignment="0" applyProtection="0"/>
    <xf numFmtId="0" fontId="62" fillId="7" borderId="6" applyNumberFormat="0" applyAlignment="0" applyProtection="0"/>
    <xf numFmtId="0" fontId="63" fillId="6" borderId="6" applyNumberFormat="0" applyAlignment="0" applyProtection="0"/>
    <xf numFmtId="0" fontId="64" fillId="0" borderId="0">
      <alignment horizontal="center"/>
    </xf>
    <xf numFmtId="0" fontId="64" fillId="0" borderId="0">
      <alignment horizontal="center" textRotation="90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6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6" fillId="0" borderId="0"/>
    <xf numFmtId="0" fontId="3" fillId="0" borderId="0"/>
    <xf numFmtId="0" fontId="65" fillId="0" borderId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70" fillId="0" borderId="0"/>
    <xf numFmtId="182" fontId="70" fillId="0" borderId="0"/>
    <xf numFmtId="183" fontId="71" fillId="0" borderId="0" applyBorder="0" applyProtection="0"/>
    <xf numFmtId="183" fontId="72" fillId="0" borderId="0" applyBorder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1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1" fillId="9" borderId="10" applyNumberFormat="0" applyFont="0" applyAlignment="0" applyProtection="0"/>
    <xf numFmtId="0" fontId="2" fillId="9" borderId="10" applyNumberFormat="0" applyFont="0" applyAlignment="0" applyProtection="0"/>
    <xf numFmtId="0" fontId="21" fillId="9" borderId="10" applyNumberFormat="0" applyFont="0" applyAlignment="0" applyProtection="0"/>
    <xf numFmtId="0" fontId="2" fillId="9" borderId="10" applyNumberFormat="0" applyFont="0" applyAlignment="0" applyProtection="0"/>
    <xf numFmtId="0" fontId="21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1" fillId="9" borderId="10" applyNumberFormat="0" applyFont="0" applyAlignment="0" applyProtection="0"/>
    <xf numFmtId="166" fontId="3" fillId="0" borderId="0" applyFont="0" applyFill="0" applyBorder="0" applyAlignment="0" applyProtection="0"/>
    <xf numFmtId="0" fontId="69" fillId="0" borderId="0"/>
    <xf numFmtId="0" fontId="61" fillId="38" borderId="0" applyNumberFormat="0" applyBorder="0" applyAlignment="0" applyProtection="0"/>
    <xf numFmtId="183" fontId="55" fillId="0" borderId="0"/>
    <xf numFmtId="183" fontId="71" fillId="0" borderId="0" applyBorder="0" applyProtection="0"/>
    <xf numFmtId="0" fontId="64" fillId="0" borderId="0">
      <alignment horizontal="center"/>
    </xf>
    <xf numFmtId="0" fontId="74" fillId="0" borderId="0" applyNumberFormat="0" applyBorder="0" applyProtection="0">
      <alignment horizontal="center"/>
    </xf>
    <xf numFmtId="0" fontId="64" fillId="0" borderId="0">
      <alignment horizontal="center" textRotation="90"/>
    </xf>
    <xf numFmtId="0" fontId="74" fillId="0" borderId="0" applyNumberFormat="0" applyBorder="0" applyProtection="0">
      <alignment horizontal="center" textRotation="90"/>
    </xf>
    <xf numFmtId="178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0" fontId="69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69" fillId="0" borderId="0"/>
    <xf numFmtId="0" fontId="65" fillId="0" borderId="0"/>
    <xf numFmtId="0" fontId="69" fillId="0" borderId="0"/>
    <xf numFmtId="0" fontId="65" fillId="0" borderId="0"/>
    <xf numFmtId="0" fontId="69" fillId="0" borderId="0"/>
    <xf numFmtId="0" fontId="66" fillId="0" borderId="0"/>
    <xf numFmtId="0" fontId="3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9" fillId="0" borderId="0"/>
    <xf numFmtId="183" fontId="75" fillId="0" borderId="0" applyBorder="0" applyProtection="0"/>
    <xf numFmtId="183" fontId="75" fillId="0" borderId="0" applyBorder="0" applyProtection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6" fillId="0" borderId="0"/>
    <xf numFmtId="0" fontId="66" fillId="0" borderId="0"/>
    <xf numFmtId="0" fontId="2" fillId="0" borderId="0"/>
    <xf numFmtId="0" fontId="66" fillId="0" borderId="0"/>
    <xf numFmtId="0" fontId="3" fillId="0" borderId="0"/>
    <xf numFmtId="0" fontId="66" fillId="0" borderId="0"/>
    <xf numFmtId="0" fontId="69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66" fillId="0" borderId="0"/>
    <xf numFmtId="0" fontId="3" fillId="0" borderId="0"/>
    <xf numFmtId="0" fontId="3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69" fillId="0" borderId="0"/>
    <xf numFmtId="0" fontId="65" fillId="0" borderId="0"/>
    <xf numFmtId="0" fontId="3" fillId="0" borderId="0"/>
    <xf numFmtId="0" fontId="2" fillId="0" borderId="0"/>
    <xf numFmtId="0" fontId="69" fillId="0" borderId="0"/>
    <xf numFmtId="0" fontId="65" fillId="0" borderId="0"/>
    <xf numFmtId="0" fontId="3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9" borderId="10" applyNumberFormat="0" applyFont="0" applyAlignment="0" applyProtection="0"/>
    <xf numFmtId="0" fontId="70" fillId="0" borderId="0"/>
    <xf numFmtId="0" fontId="76" fillId="0" borderId="0" applyNumberFormat="0" applyBorder="0" applyProtection="0"/>
    <xf numFmtId="182" fontId="70" fillId="0" borderId="0"/>
    <xf numFmtId="182" fontId="76" fillId="0" borderId="0" applyBorder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7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21" fillId="9" borderId="10" applyNumberFormat="0" applyFont="0" applyAlignment="0" applyProtection="0"/>
    <xf numFmtId="0" fontId="73" fillId="0" borderId="0"/>
    <xf numFmtId="0" fontId="73" fillId="0" borderId="0"/>
    <xf numFmtId="0" fontId="65" fillId="0" borderId="0"/>
    <xf numFmtId="0" fontId="73" fillId="0" borderId="0"/>
    <xf numFmtId="0" fontId="2" fillId="19" borderId="0" applyNumberFormat="0" applyBorder="0" applyAlignment="0" applyProtection="0"/>
    <xf numFmtId="0" fontId="65" fillId="0" borderId="0"/>
    <xf numFmtId="0" fontId="73" fillId="0" borderId="0"/>
    <xf numFmtId="0" fontId="66" fillId="0" borderId="0"/>
    <xf numFmtId="0" fontId="69" fillId="0" borderId="0"/>
    <xf numFmtId="0" fontId="69" fillId="0" borderId="0"/>
    <xf numFmtId="183" fontId="75" fillId="0" borderId="0" applyBorder="0" applyProtection="0"/>
    <xf numFmtId="0" fontId="7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1" fillId="38" borderId="0" applyNumberFormat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5" fillId="0" borderId="0"/>
    <xf numFmtId="0" fontId="65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4" fontId="65" fillId="0" borderId="0" applyFont="0" applyFill="0" applyBorder="0" applyAlignment="0" applyProtection="0"/>
    <xf numFmtId="0" fontId="69" fillId="0" borderId="0"/>
    <xf numFmtId="0" fontId="66" fillId="0" borderId="0"/>
    <xf numFmtId="0" fontId="3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79" fillId="0" borderId="0" applyNumberForma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74" fontId="4" fillId="0" borderId="0" xfId="3" applyNumberFormat="1" applyFont="1" applyFill="1" applyBorder="1" applyAlignment="1">
      <alignment horizontal="center"/>
    </xf>
    <xf numFmtId="3" fontId="0" fillId="2" borderId="0" xfId="0" applyNumberFormat="1" applyFill="1"/>
    <xf numFmtId="3" fontId="0" fillId="0" borderId="0" xfId="0" applyNumberFormat="1"/>
    <xf numFmtId="177" fontId="0" fillId="0" borderId="0" xfId="0" applyNumberFormat="1"/>
    <xf numFmtId="171" fontId="4" fillId="0" borderId="0" xfId="1" applyNumberFormat="1" applyFont="1" applyFill="1" applyBorder="1" applyAlignment="1">
      <alignment horizontal="center"/>
    </xf>
    <xf numFmtId="168" fontId="0" fillId="0" borderId="0" xfId="0" applyNumberFormat="1"/>
    <xf numFmtId="0" fontId="22" fillId="35" borderId="14" xfId="0" applyFont="1" applyFill="1" applyBorder="1" applyAlignment="1">
      <alignment horizontal="center"/>
    </xf>
    <xf numFmtId="0" fontId="23" fillId="35" borderId="1" xfId="0" applyFont="1" applyFill="1" applyBorder="1"/>
    <xf numFmtId="0" fontId="23" fillId="35" borderId="19" xfId="0" applyFont="1" applyFill="1" applyBorder="1"/>
    <xf numFmtId="0" fontId="22" fillId="35" borderId="15" xfId="0" applyFont="1" applyFill="1" applyBorder="1" applyAlignment="1">
      <alignment horizontal="center"/>
    </xf>
    <xf numFmtId="0" fontId="22" fillId="35" borderId="0" xfId="0" applyFont="1" applyFill="1" applyAlignment="1">
      <alignment horizontal="center" vertical="center"/>
    </xf>
    <xf numFmtId="0" fontId="22" fillId="0" borderId="0" xfId="0" applyFont="1"/>
    <xf numFmtId="169" fontId="23" fillId="0" borderId="1" xfId="0" applyNumberFormat="1" applyFont="1" applyBorder="1"/>
    <xf numFmtId="0" fontId="23" fillId="0" borderId="0" xfId="0" applyFont="1" applyAlignment="1">
      <alignment horizontal="center"/>
    </xf>
    <xf numFmtId="177" fontId="23" fillId="0" borderId="0" xfId="0" applyNumberFormat="1" applyFont="1" applyAlignment="1">
      <alignment horizontal="center"/>
    </xf>
    <xf numFmtId="169" fontId="23" fillId="0" borderId="0" xfId="0" applyNumberFormat="1" applyFont="1"/>
    <xf numFmtId="0" fontId="23" fillId="0" borderId="17" xfId="0" applyFont="1" applyBorder="1"/>
    <xf numFmtId="0" fontId="0" fillId="0" borderId="17" xfId="0" applyBorder="1"/>
    <xf numFmtId="3" fontId="23" fillId="0" borderId="0" xfId="0" applyNumberFormat="1" applyFont="1" applyAlignment="1">
      <alignment horizontal="center"/>
    </xf>
    <xf numFmtId="0" fontId="0" fillId="0" borderId="20" xfId="0" applyBorder="1"/>
    <xf numFmtId="169" fontId="23" fillId="0" borderId="26" xfId="0" applyNumberFormat="1" applyFont="1" applyBorder="1" applyAlignment="1">
      <alignment horizontal="center"/>
    </xf>
    <xf numFmtId="169" fontId="23" fillId="0" borderId="0" xfId="0" applyNumberFormat="1" applyFont="1" applyAlignment="1">
      <alignment horizontal="center"/>
    </xf>
    <xf numFmtId="169" fontId="23" fillId="34" borderId="2" xfId="0" applyNumberFormat="1" applyFont="1" applyFill="1" applyBorder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left"/>
    </xf>
    <xf numFmtId="3" fontId="23" fillId="0" borderId="0" xfId="0" applyNumberFormat="1" applyFont="1"/>
    <xf numFmtId="3" fontId="0" fillId="0" borderId="0" xfId="0" applyNumberFormat="1" applyAlignment="1">
      <alignment horizontal="center"/>
    </xf>
    <xf numFmtId="1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3" fontId="23" fillId="0" borderId="19" xfId="0" applyNumberFormat="1" applyFont="1" applyBorder="1"/>
    <xf numFmtId="177" fontId="23" fillId="0" borderId="17" xfId="0" applyNumberFormat="1" applyFont="1" applyBorder="1"/>
    <xf numFmtId="169" fontId="23" fillId="0" borderId="17" xfId="0" applyNumberFormat="1" applyFont="1" applyBorder="1" applyAlignment="1">
      <alignment horizontal="center"/>
    </xf>
    <xf numFmtId="169" fontId="23" fillId="0" borderId="27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168" fontId="23" fillId="0" borderId="0" xfId="0" applyNumberFormat="1" applyFont="1" applyAlignment="1">
      <alignment horizontal="center"/>
    </xf>
    <xf numFmtId="171" fontId="23" fillId="0" borderId="0" xfId="0" applyNumberFormat="1" applyFont="1"/>
    <xf numFmtId="2" fontId="23" fillId="0" borderId="0" xfId="0" applyNumberFormat="1" applyFont="1" applyAlignment="1">
      <alignment horizontal="center"/>
    </xf>
    <xf numFmtId="169" fontId="23" fillId="0" borderId="17" xfId="0" applyNumberFormat="1" applyFont="1" applyBorder="1"/>
    <xf numFmtId="177" fontId="23" fillId="0" borderId="27" xfId="0" applyNumberFormat="1" applyFont="1" applyBorder="1" applyAlignment="1">
      <alignment horizontal="center"/>
    </xf>
    <xf numFmtId="3" fontId="23" fillId="0" borderId="0" xfId="3" applyNumberFormat="1" applyFont="1" applyAlignment="1">
      <alignment horizontal="center"/>
    </xf>
    <xf numFmtId="177" fontId="23" fillId="34" borderId="2" xfId="0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2" fontId="23" fillId="0" borderId="0" xfId="0" applyNumberFormat="1" applyFont="1"/>
    <xf numFmtId="168" fontId="23" fillId="2" borderId="0" xfId="0" applyNumberFormat="1" applyFont="1" applyFill="1" applyAlignment="1">
      <alignment horizontal="left"/>
    </xf>
    <xf numFmtId="3" fontId="23" fillId="0" borderId="0" xfId="0" applyNumberFormat="1" applyFont="1" applyAlignment="1">
      <alignment horizontal="left"/>
    </xf>
    <xf numFmtId="0" fontId="22" fillId="35" borderId="18" xfId="0" applyFont="1" applyFill="1" applyBorder="1" applyAlignment="1">
      <alignment horizontal="center"/>
    </xf>
    <xf numFmtId="0" fontId="22" fillId="35" borderId="12" xfId="0" applyFont="1" applyFill="1" applyBorder="1" applyAlignment="1">
      <alignment horizontal="center"/>
    </xf>
    <xf numFmtId="0" fontId="22" fillId="35" borderId="2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/>
    </xf>
    <xf numFmtId="3" fontId="27" fillId="35" borderId="26" xfId="439" applyNumberFormat="1" applyFont="1" applyFill="1" applyBorder="1" applyAlignment="1">
      <alignment horizontal="center" vertical="center" wrapText="1"/>
    </xf>
    <xf numFmtId="3" fontId="27" fillId="35" borderId="2" xfId="439" applyNumberFormat="1" applyFont="1" applyFill="1" applyBorder="1" applyAlignment="1">
      <alignment horizontal="center" vertical="center" wrapText="1"/>
    </xf>
    <xf numFmtId="0" fontId="28" fillId="0" borderId="0" xfId="0" applyFont="1"/>
    <xf numFmtId="168" fontId="29" fillId="0" borderId="0" xfId="3" applyNumberFormat="1" applyFont="1" applyAlignment="1">
      <alignment horizontal="center"/>
    </xf>
    <xf numFmtId="168" fontId="30" fillId="0" borderId="0" xfId="0" applyNumberFormat="1" applyFont="1" applyAlignment="1">
      <alignment horizontal="center"/>
    </xf>
    <xf numFmtId="168" fontId="29" fillId="0" borderId="0" xfId="3" applyNumberFormat="1" applyFont="1" applyFill="1" applyAlignment="1">
      <alignment horizontal="center"/>
    </xf>
    <xf numFmtId="174" fontId="29" fillId="0" borderId="17" xfId="3" applyNumberFormat="1" applyFont="1" applyFill="1" applyBorder="1" applyAlignment="1">
      <alignment horizontal="center"/>
    </xf>
    <xf numFmtId="174" fontId="30" fillId="0" borderId="0" xfId="3" applyNumberFormat="1" applyFont="1" applyFill="1" applyBorder="1" applyAlignment="1">
      <alignment horizontal="center"/>
    </xf>
    <xf numFmtId="168" fontId="29" fillId="0" borderId="0" xfId="3" applyNumberFormat="1" applyFont="1" applyFill="1" applyBorder="1" applyAlignment="1">
      <alignment horizontal="center"/>
    </xf>
    <xf numFmtId="0" fontId="31" fillId="35" borderId="26" xfId="0" applyFont="1" applyFill="1" applyBorder="1"/>
    <xf numFmtId="168" fontId="31" fillId="35" borderId="26" xfId="0" applyNumberFormat="1" applyFont="1" applyFill="1" applyBorder="1" applyAlignment="1">
      <alignment horizontal="center"/>
    </xf>
    <xf numFmtId="168" fontId="31" fillId="35" borderId="28" xfId="0" applyNumberFormat="1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29" fillId="0" borderId="0" xfId="0" applyFont="1"/>
    <xf numFmtId="168" fontId="29" fillId="0" borderId="0" xfId="1" applyNumberFormat="1" applyFont="1" applyFill="1" applyBorder="1" applyAlignment="1">
      <alignment horizontal="center"/>
    </xf>
    <xf numFmtId="171" fontId="29" fillId="0" borderId="0" xfId="1" applyNumberFormat="1" applyFont="1" applyFill="1" applyBorder="1" applyAlignment="1">
      <alignment horizontal="center"/>
    </xf>
    <xf numFmtId="174" fontId="29" fillId="0" borderId="0" xfId="3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29" fillId="0" borderId="12" xfId="0" applyFont="1" applyBorder="1"/>
    <xf numFmtId="0" fontId="43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175" fontId="4" fillId="0" borderId="0" xfId="1" applyNumberFormat="1" applyFont="1" applyFill="1" applyBorder="1" applyAlignment="1">
      <alignment horizontal="center"/>
    </xf>
    <xf numFmtId="37" fontId="30" fillId="0" borderId="0" xfId="1" applyNumberFormat="1" applyFont="1" applyFill="1" applyBorder="1" applyAlignment="1">
      <alignment horizontal="center"/>
    </xf>
    <xf numFmtId="10" fontId="30" fillId="0" borderId="0" xfId="3" applyNumberFormat="1" applyFont="1" applyFill="1" applyBorder="1" applyAlignment="1">
      <alignment horizontal="center"/>
    </xf>
    <xf numFmtId="174" fontId="30" fillId="0" borderId="0" xfId="3" applyNumberFormat="1" applyFont="1" applyFill="1" applyBorder="1" applyAlignment="1">
      <alignment horizontal="right"/>
    </xf>
    <xf numFmtId="168" fontId="28" fillId="0" borderId="0" xfId="0" applyNumberFormat="1" applyFont="1" applyAlignment="1">
      <alignment horizontal="center"/>
    </xf>
    <xf numFmtId="3" fontId="40" fillId="0" borderId="0" xfId="0" applyNumberFormat="1" applyFont="1" applyAlignment="1">
      <alignment horizontal="center"/>
    </xf>
    <xf numFmtId="0" fontId="40" fillId="0" borderId="0" xfId="0" applyFont="1"/>
    <xf numFmtId="173" fontId="33" fillId="0" borderId="0" xfId="1" applyNumberFormat="1" applyFont="1" applyFill="1" applyBorder="1" applyAlignment="1">
      <alignment horizontal="center"/>
    </xf>
    <xf numFmtId="173" fontId="44" fillId="0" borderId="0" xfId="1" applyNumberFormat="1" applyFont="1" applyFill="1" applyBorder="1" applyAlignment="1">
      <alignment horizontal="center"/>
    </xf>
    <xf numFmtId="37" fontId="33" fillId="0" borderId="0" xfId="1" applyNumberFormat="1" applyFont="1" applyFill="1" applyBorder="1" applyAlignment="1">
      <alignment horizontal="center"/>
    </xf>
    <xf numFmtId="9" fontId="33" fillId="0" borderId="0" xfId="3" applyFont="1" applyFill="1" applyBorder="1" applyAlignment="1">
      <alignment horizontal="center"/>
    </xf>
    <xf numFmtId="9" fontId="33" fillId="0" borderId="0" xfId="3" applyFont="1" applyFill="1" applyBorder="1" applyAlignment="1">
      <alignment horizontal="right"/>
    </xf>
    <xf numFmtId="17" fontId="36" fillId="0" borderId="0" xfId="0" applyNumberFormat="1" applyFont="1" applyAlignment="1">
      <alignment horizontal="center"/>
    </xf>
    <xf numFmtId="167" fontId="36" fillId="0" borderId="0" xfId="0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170" fontId="45" fillId="0" borderId="0" xfId="0" applyNumberFormat="1" applyFont="1" applyAlignment="1">
      <alignment horizontal="center"/>
    </xf>
    <xf numFmtId="168" fontId="36" fillId="0" borderId="0" xfId="0" applyNumberFormat="1" applyFont="1"/>
    <xf numFmtId="168" fontId="40" fillId="0" borderId="0" xfId="0" applyNumberFormat="1" applyFont="1" applyAlignment="1">
      <alignment horizontal="center"/>
    </xf>
    <xf numFmtId="0" fontId="46" fillId="0" borderId="0" xfId="0" applyFont="1"/>
    <xf numFmtId="167" fontId="36" fillId="0" borderId="0" xfId="0" applyNumberFormat="1" applyFont="1"/>
    <xf numFmtId="17" fontId="36" fillId="0" borderId="0" xfId="0" applyNumberFormat="1" applyFont="1"/>
    <xf numFmtId="2" fontId="36" fillId="0" borderId="0" xfId="0" applyNumberFormat="1" applyFont="1"/>
    <xf numFmtId="172" fontId="36" fillId="0" borderId="0" xfId="0" applyNumberFormat="1" applyFont="1"/>
    <xf numFmtId="167" fontId="46" fillId="0" borderId="0" xfId="0" applyNumberFormat="1" applyFont="1"/>
    <xf numFmtId="167" fontId="30" fillId="0" borderId="0" xfId="1" applyNumberFormat="1" applyFont="1" applyFill="1" applyBorder="1" applyAlignment="1">
      <alignment horizontal="right"/>
    </xf>
    <xf numFmtId="9" fontId="36" fillId="0" borderId="0" xfId="3" applyFont="1" applyFill="1" applyAlignment="1">
      <alignment horizontal="center"/>
    </xf>
    <xf numFmtId="37" fontId="45" fillId="0" borderId="0" xfId="0" applyNumberFormat="1" applyFont="1" applyAlignment="1">
      <alignment horizontal="center"/>
    </xf>
    <xf numFmtId="168" fontId="45" fillId="0" borderId="0" xfId="0" applyNumberFormat="1" applyFont="1" applyAlignment="1">
      <alignment horizontal="center"/>
    </xf>
    <xf numFmtId="3" fontId="36" fillId="0" borderId="0" xfId="0" applyNumberFormat="1" applyFont="1"/>
    <xf numFmtId="0" fontId="46" fillId="0" borderId="0" xfId="0" applyFont="1" applyAlignment="1">
      <alignment horizontal="center"/>
    </xf>
    <xf numFmtId="167" fontId="46" fillId="0" borderId="0" xfId="0" applyNumberFormat="1" applyFont="1" applyAlignment="1">
      <alignment horizontal="center"/>
    </xf>
    <xf numFmtId="168" fontId="30" fillId="0" borderId="0" xfId="1" applyNumberFormat="1" applyFont="1" applyFill="1" applyBorder="1" applyAlignment="1">
      <alignment horizontal="center"/>
    </xf>
    <xf numFmtId="37" fontId="36" fillId="0" borderId="0" xfId="0" applyNumberFormat="1" applyFont="1"/>
    <xf numFmtId="0" fontId="45" fillId="0" borderId="0" xfId="0" applyFont="1"/>
    <xf numFmtId="37" fontId="45" fillId="0" borderId="0" xfId="0" applyNumberFormat="1" applyFont="1"/>
    <xf numFmtId="171" fontId="30" fillId="0" borderId="0" xfId="1" applyNumberFormat="1" applyFont="1" applyFill="1" applyBorder="1" applyAlignment="1">
      <alignment horizontal="center"/>
    </xf>
    <xf numFmtId="169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3" fillId="0" borderId="0" xfId="0" applyFont="1"/>
    <xf numFmtId="0" fontId="30" fillId="0" borderId="0" xfId="0" applyFont="1" applyAlignment="1">
      <alignment horizontal="left"/>
    </xf>
    <xf numFmtId="174" fontId="30" fillId="0" borderId="13" xfId="3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0" fontId="30" fillId="0" borderId="0" xfId="0" applyFont="1"/>
    <xf numFmtId="0" fontId="4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4" fontId="30" fillId="0" borderId="0" xfId="0" applyNumberFormat="1" applyFont="1" applyAlignment="1">
      <alignment horizontal="center"/>
    </xf>
    <xf numFmtId="169" fontId="48" fillId="0" borderId="0" xfId="0" applyNumberFormat="1" applyFont="1" applyAlignment="1">
      <alignment horizontal="center"/>
    </xf>
    <xf numFmtId="0" fontId="3" fillId="0" borderId="0" xfId="0" applyFont="1"/>
    <xf numFmtId="168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68" fontId="47" fillId="0" borderId="0" xfId="1" applyNumberFormat="1" applyFont="1" applyFill="1" applyBorder="1" applyAlignment="1">
      <alignment horizontal="center"/>
    </xf>
    <xf numFmtId="0" fontId="48" fillId="0" borderId="0" xfId="0" applyFont="1"/>
    <xf numFmtId="169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169" fontId="36" fillId="0" borderId="0" xfId="0" applyNumberFormat="1" applyFont="1"/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center" wrapText="1"/>
    </xf>
    <xf numFmtId="3" fontId="50" fillId="0" borderId="0" xfId="0" applyNumberFormat="1" applyFont="1" applyAlignment="1">
      <alignment horizontal="center"/>
    </xf>
    <xf numFmtId="169" fontId="50" fillId="0" borderId="0" xfId="0" applyNumberFormat="1" applyFont="1" applyAlignment="1">
      <alignment horizontal="center"/>
    </xf>
    <xf numFmtId="37" fontId="30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3" fontId="51" fillId="0" borderId="0" xfId="0" applyNumberFormat="1" applyFont="1" applyAlignment="1">
      <alignment horizontal="center"/>
    </xf>
    <xf numFmtId="0" fontId="27" fillId="0" borderId="26" xfId="0" applyFont="1" applyBorder="1" applyAlignment="1">
      <alignment horizontal="center"/>
    </xf>
    <xf numFmtId="168" fontId="52" fillId="0" borderId="26" xfId="0" applyNumberFormat="1" applyFont="1" applyBorder="1" applyAlignment="1">
      <alignment horizontal="center"/>
    </xf>
    <xf numFmtId="174" fontId="31" fillId="0" borderId="26" xfId="3" applyNumberFormat="1" applyFont="1" applyFill="1" applyBorder="1" applyAlignment="1">
      <alignment horizontal="center"/>
    </xf>
    <xf numFmtId="168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0" fontId="4" fillId="0" borderId="0" xfId="0" applyFont="1"/>
    <xf numFmtId="168" fontId="31" fillId="0" borderId="26" xfId="1" applyNumberFormat="1" applyFont="1" applyFill="1" applyBorder="1" applyAlignment="1">
      <alignment horizontal="center"/>
    </xf>
    <xf numFmtId="174" fontId="29" fillId="0" borderId="26" xfId="3" applyNumberFormat="1" applyFont="1" applyFill="1" applyBorder="1" applyAlignment="1">
      <alignment horizontal="center"/>
    </xf>
    <xf numFmtId="168" fontId="31" fillId="0" borderId="26" xfId="1" applyNumberFormat="1" applyFont="1" applyFill="1" applyBorder="1" applyAlignment="1">
      <alignment horizontal="left"/>
    </xf>
    <xf numFmtId="168" fontId="36" fillId="0" borderId="27" xfId="0" applyNumberFormat="1" applyFont="1" applyBorder="1" applyAlignment="1">
      <alignment horizontal="center"/>
    </xf>
    <xf numFmtId="9" fontId="29" fillId="0" borderId="26" xfId="3" applyFont="1" applyFill="1" applyBorder="1" applyAlignment="1">
      <alignment horizontal="center"/>
    </xf>
    <xf numFmtId="0" fontId="31" fillId="35" borderId="2" xfId="0" applyFont="1" applyFill="1" applyBorder="1" applyAlignment="1">
      <alignment horizontal="center" vertical="center"/>
    </xf>
    <xf numFmtId="0" fontId="31" fillId="35" borderId="20" xfId="0" applyFont="1" applyFill="1" applyBorder="1" applyAlignment="1">
      <alignment horizontal="center" vertical="center"/>
    </xf>
    <xf numFmtId="174" fontId="29" fillId="36" borderId="0" xfId="3" applyNumberFormat="1" applyFont="1" applyFill="1" applyBorder="1" applyAlignment="1">
      <alignment horizontal="center"/>
    </xf>
    <xf numFmtId="0" fontId="31" fillId="36" borderId="23" xfId="0" applyFont="1" applyFill="1" applyBorder="1"/>
    <xf numFmtId="168" fontId="31" fillId="36" borderId="23" xfId="1" applyNumberFormat="1" applyFont="1" applyFill="1" applyBorder="1" applyAlignment="1">
      <alignment horizontal="center"/>
    </xf>
    <xf numFmtId="167" fontId="31" fillId="36" borderId="23" xfId="1" applyNumberFormat="1" applyFont="1" applyFill="1" applyBorder="1" applyAlignment="1">
      <alignment horizontal="center"/>
    </xf>
    <xf numFmtId="9" fontId="31" fillId="36" borderId="23" xfId="3" applyFont="1" applyFill="1" applyBorder="1" applyAlignment="1">
      <alignment horizontal="center"/>
    </xf>
    <xf numFmtId="0" fontId="31" fillId="35" borderId="29" xfId="0" applyFont="1" applyFill="1" applyBorder="1"/>
    <xf numFmtId="168" fontId="31" fillId="35" borderId="23" xfId="1" applyNumberFormat="1" applyFont="1" applyFill="1" applyBorder="1" applyAlignment="1">
      <alignment horizontal="center"/>
    </xf>
    <xf numFmtId="9" fontId="31" fillId="35" borderId="23" xfId="3" applyFont="1" applyFill="1" applyBorder="1" applyAlignment="1">
      <alignment horizontal="center"/>
    </xf>
    <xf numFmtId="168" fontId="31" fillId="35" borderId="23" xfId="3" applyNumberFormat="1" applyFont="1" applyFill="1" applyBorder="1" applyAlignment="1">
      <alignment horizontal="center"/>
    </xf>
    <xf numFmtId="168" fontId="23" fillId="0" borderId="26" xfId="0" applyNumberFormat="1" applyFont="1" applyBorder="1" applyAlignment="1">
      <alignment horizontal="center"/>
    </xf>
    <xf numFmtId="177" fontId="23" fillId="0" borderId="23" xfId="0" applyNumberFormat="1" applyFont="1" applyBorder="1" applyAlignment="1">
      <alignment horizontal="center"/>
    </xf>
    <xf numFmtId="169" fontId="23" fillId="0" borderId="19" xfId="0" applyNumberFormat="1" applyFont="1" applyBorder="1"/>
    <xf numFmtId="169" fontId="23" fillId="0" borderId="12" xfId="0" applyNumberFormat="1" applyFont="1" applyBorder="1"/>
    <xf numFmtId="0" fontId="0" fillId="0" borderId="12" xfId="0" applyBorder="1"/>
    <xf numFmtId="177" fontId="23" fillId="0" borderId="12" xfId="0" applyNumberFormat="1" applyFont="1" applyBorder="1" applyAlignment="1">
      <alignment horizontal="center"/>
    </xf>
    <xf numFmtId="0" fontId="0" fillId="0" borderId="2" xfId="0" applyBorder="1"/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2" fillId="35" borderId="28" xfId="439" applyNumberFormat="1" applyFont="1" applyFill="1" applyBorder="1" applyAlignment="1">
      <alignment horizontal="center" vertical="center" wrapText="1"/>
    </xf>
    <xf numFmtId="3" fontId="32" fillId="35" borderId="23" xfId="439" applyNumberFormat="1" applyFont="1" applyFill="1" applyBorder="1" applyAlignment="1">
      <alignment vertical="center" wrapText="1"/>
    </xf>
    <xf numFmtId="3" fontId="32" fillId="35" borderId="27" xfId="439" applyNumberFormat="1" applyFont="1" applyFill="1" applyBorder="1" applyAlignment="1">
      <alignment horizontal="center" vertical="center" wrapText="1"/>
    </xf>
    <xf numFmtId="168" fontId="0" fillId="35" borderId="2" xfId="0" applyNumberFormat="1" applyFill="1" applyBorder="1" applyAlignment="1">
      <alignment horizontal="center"/>
    </xf>
    <xf numFmtId="174" fontId="53" fillId="35" borderId="22" xfId="3" applyNumberFormat="1" applyFont="1" applyFill="1" applyBorder="1" applyAlignment="1">
      <alignment horizontal="center"/>
    </xf>
    <xf numFmtId="0" fontId="0" fillId="35" borderId="0" xfId="0" applyFill="1"/>
    <xf numFmtId="3" fontId="35" fillId="35" borderId="26" xfId="439" applyNumberFormat="1" applyFont="1" applyFill="1" applyBorder="1" applyAlignment="1">
      <alignment vertical="center" wrapText="1"/>
    </xf>
    <xf numFmtId="3" fontId="35" fillId="35" borderId="26" xfId="43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3" fontId="55" fillId="0" borderId="26" xfId="0" applyNumberFormat="1" applyFont="1" applyBorder="1" applyAlignment="1">
      <alignment horizontal="center"/>
    </xf>
    <xf numFmtId="174" fontId="53" fillId="0" borderId="26" xfId="3" applyNumberFormat="1" applyFont="1" applyFill="1" applyBorder="1" applyAlignment="1">
      <alignment horizontal="center"/>
    </xf>
    <xf numFmtId="177" fontId="23" fillId="0" borderId="28" xfId="0" applyNumberFormat="1" applyFont="1" applyBorder="1" applyAlignment="1">
      <alignment horizontal="center"/>
    </xf>
    <xf numFmtId="0" fontId="58" fillId="0" borderId="12" xfId="0" applyFont="1" applyBorder="1" applyAlignment="1">
      <alignment horizontal="center" vertical="center"/>
    </xf>
    <xf numFmtId="3" fontId="58" fillId="0" borderId="12" xfId="439" applyNumberFormat="1" applyFont="1" applyBorder="1" applyAlignment="1">
      <alignment horizontal="center"/>
    </xf>
    <xf numFmtId="3" fontId="58" fillId="0" borderId="17" xfId="439" applyNumberFormat="1" applyFont="1" applyBorder="1" applyAlignment="1">
      <alignment horizontal="center"/>
    </xf>
    <xf numFmtId="177" fontId="58" fillId="0" borderId="0" xfId="439" applyNumberFormat="1" applyFont="1" applyAlignment="1">
      <alignment horizontal="center"/>
    </xf>
    <xf numFmtId="177" fontId="58" fillId="0" borderId="17" xfId="439" applyNumberFormat="1" applyFont="1" applyBorder="1" applyAlignment="1">
      <alignment horizontal="center"/>
    </xf>
    <xf numFmtId="168" fontId="58" fillId="0" borderId="12" xfId="439" applyNumberFormat="1" applyFont="1" applyBorder="1" applyAlignment="1">
      <alignment horizontal="center"/>
    </xf>
    <xf numFmtId="168" fontId="58" fillId="0" borderId="17" xfId="439" applyNumberFormat="1" applyFont="1" applyBorder="1" applyAlignment="1">
      <alignment horizontal="center"/>
    </xf>
    <xf numFmtId="0" fontId="60" fillId="0" borderId="0" xfId="0" applyFont="1" applyAlignment="1">
      <alignment vertical="center"/>
    </xf>
    <xf numFmtId="0" fontId="59" fillId="2" borderId="31" xfId="0" applyFont="1" applyFill="1" applyBorder="1" applyAlignment="1">
      <alignment horizontal="center" vertical="center" wrapText="1"/>
    </xf>
    <xf numFmtId="168" fontId="59" fillId="2" borderId="23" xfId="0" applyNumberFormat="1" applyFont="1" applyFill="1" applyBorder="1" applyAlignment="1">
      <alignment horizontal="center" vertical="center" wrapText="1"/>
    </xf>
    <xf numFmtId="168" fontId="59" fillId="2" borderId="28" xfId="0" applyNumberFormat="1" applyFont="1" applyFill="1" applyBorder="1" applyAlignment="1">
      <alignment horizontal="center" vertical="center" wrapText="1"/>
    </xf>
    <xf numFmtId="168" fontId="59" fillId="2" borderId="27" xfId="0" applyNumberFormat="1" applyFont="1" applyFill="1" applyBorder="1" applyAlignment="1">
      <alignment horizontal="center" vertical="center" wrapText="1"/>
    </xf>
    <xf numFmtId="177" fontId="59" fillId="2" borderId="23" xfId="0" applyNumberFormat="1" applyFont="1" applyFill="1" applyBorder="1" applyAlignment="1">
      <alignment horizontal="center" vertical="center" wrapText="1"/>
    </xf>
    <xf numFmtId="177" fontId="59" fillId="2" borderId="27" xfId="0" applyNumberFormat="1" applyFont="1" applyFill="1" applyBorder="1" applyAlignment="1">
      <alignment horizontal="center" vertical="center" wrapText="1"/>
    </xf>
    <xf numFmtId="168" fontId="55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174" fontId="36" fillId="0" borderId="0" xfId="3" applyNumberFormat="1" applyFont="1" applyFill="1"/>
    <xf numFmtId="0" fontId="28" fillId="0" borderId="26" xfId="0" applyFont="1" applyBorder="1"/>
    <xf numFmtId="168" fontId="55" fillId="0" borderId="26" xfId="0" applyNumberFormat="1" applyFont="1" applyBorder="1" applyAlignment="1">
      <alignment horizontal="center"/>
    </xf>
    <xf numFmtId="3" fontId="56" fillId="37" borderId="26" xfId="0" applyNumberFormat="1" applyFont="1" applyFill="1" applyBorder="1" applyAlignment="1">
      <alignment horizontal="right"/>
    </xf>
    <xf numFmtId="168" fontId="23" fillId="0" borderId="0" xfId="0" applyNumberFormat="1" applyFont="1"/>
    <xf numFmtId="168" fontId="68" fillId="35" borderId="26" xfId="0" applyNumberFormat="1" applyFont="1" applyFill="1" applyBorder="1" applyAlignment="1">
      <alignment horizontal="center"/>
    </xf>
    <xf numFmtId="174" fontId="68" fillId="35" borderId="26" xfId="0" applyNumberFormat="1" applyFont="1" applyFill="1" applyBorder="1" applyAlignment="1">
      <alignment horizontal="center"/>
    </xf>
    <xf numFmtId="169" fontId="23" fillId="0" borderId="0" xfId="0" applyNumberFormat="1" applyFont="1" applyAlignment="1">
      <alignment horizontal="center" vertical="center"/>
    </xf>
    <xf numFmtId="169" fontId="23" fillId="0" borderId="28" xfId="0" applyNumberFormat="1" applyFont="1" applyBorder="1" applyAlignment="1">
      <alignment horizontal="center"/>
    </xf>
    <xf numFmtId="169" fontId="23" fillId="0" borderId="23" xfId="0" applyNumberFormat="1" applyFont="1" applyBorder="1" applyAlignment="1">
      <alignment horizontal="center"/>
    </xf>
    <xf numFmtId="177" fontId="23" fillId="0" borderId="2" xfId="0" applyNumberFormat="1" applyFont="1" applyBorder="1" applyAlignment="1">
      <alignment horizontal="center"/>
    </xf>
    <xf numFmtId="177" fontId="23" fillId="0" borderId="20" xfId="0" applyNumberFormat="1" applyFont="1" applyBorder="1" applyAlignment="1">
      <alignment horizontal="center"/>
    </xf>
    <xf numFmtId="0" fontId="0" fillId="0" borderId="16" xfId="0" applyBorder="1"/>
    <xf numFmtId="0" fontId="23" fillId="0" borderId="26" xfId="0" applyFont="1" applyBorder="1" applyAlignment="1">
      <alignment horizontal="center"/>
    </xf>
    <xf numFmtId="3" fontId="78" fillId="0" borderId="28" xfId="0" applyNumberFormat="1" applyFont="1" applyBorder="1" applyAlignment="1">
      <alignment horizontal="center"/>
    </xf>
    <xf numFmtId="3" fontId="78" fillId="0" borderId="26" xfId="0" applyNumberFormat="1" applyFont="1" applyBorder="1" applyAlignment="1">
      <alignment horizontal="center"/>
    </xf>
    <xf numFmtId="3" fontId="0" fillId="39" borderId="0" xfId="0" applyNumberFormat="1" applyFill="1" applyAlignment="1">
      <alignment horizontal="center"/>
    </xf>
    <xf numFmtId="174" fontId="23" fillId="0" borderId="0" xfId="3" applyNumberFormat="1" applyFont="1" applyAlignment="1">
      <alignment horizontal="center"/>
    </xf>
    <xf numFmtId="168" fontId="55" fillId="0" borderId="0" xfId="0" applyNumberFormat="1" applyFont="1"/>
    <xf numFmtId="3" fontId="57" fillId="2" borderId="17" xfId="439" applyNumberFormat="1" applyFont="1" applyFill="1" applyBorder="1" applyAlignment="1">
      <alignment horizontal="center" vertical="center" wrapText="1"/>
    </xf>
    <xf numFmtId="3" fontId="57" fillId="2" borderId="20" xfId="439" applyNumberFormat="1" applyFont="1" applyFill="1" applyBorder="1" applyAlignment="1">
      <alignment horizontal="center" vertical="center" wrapText="1"/>
    </xf>
    <xf numFmtId="17" fontId="57" fillId="2" borderId="0" xfId="0" applyNumberFormat="1" applyFont="1" applyFill="1" applyAlignment="1">
      <alignment vertical="center" wrapText="1"/>
    </xf>
    <xf numFmtId="17" fontId="57" fillId="2" borderId="2" xfId="0" applyNumberFormat="1" applyFont="1" applyFill="1" applyBorder="1" applyAlignment="1">
      <alignment vertical="center" wrapText="1"/>
    </xf>
    <xf numFmtId="17" fontId="57" fillId="2" borderId="12" xfId="0" applyNumberFormat="1" applyFont="1" applyFill="1" applyBorder="1" applyAlignment="1">
      <alignment horizontal="center" vertical="center" wrapText="1"/>
    </xf>
    <xf numFmtId="17" fontId="57" fillId="2" borderId="16" xfId="0" applyNumberFormat="1" applyFont="1" applyFill="1" applyBorder="1" applyAlignment="1">
      <alignment horizontal="center" vertical="center" wrapText="1"/>
    </xf>
    <xf numFmtId="0" fontId="26" fillId="0" borderId="0" xfId="0" applyFont="1"/>
    <xf numFmtId="168" fontId="29" fillId="0" borderId="12" xfId="1" applyNumberFormat="1" applyFont="1" applyFill="1" applyBorder="1" applyAlignment="1">
      <alignment horizontal="center" vertical="center"/>
    </xf>
    <xf numFmtId="168" fontId="31" fillId="35" borderId="23" xfId="1" applyNumberFormat="1" applyFont="1" applyFill="1" applyBorder="1" applyAlignment="1">
      <alignment horizontal="center" vertical="center"/>
    </xf>
    <xf numFmtId="168" fontId="31" fillId="36" borderId="23" xfId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3" fontId="32" fillId="35" borderId="2" xfId="439" applyNumberFormat="1" applyFont="1" applyFill="1" applyBorder="1" applyAlignment="1">
      <alignment vertical="center" wrapText="1"/>
    </xf>
    <xf numFmtId="174" fontId="29" fillId="40" borderId="0" xfId="3" applyNumberFormat="1" applyFont="1" applyFill="1" applyBorder="1" applyAlignment="1">
      <alignment horizontal="center"/>
    </xf>
    <xf numFmtId="0" fontId="31" fillId="35" borderId="1" xfId="0" applyFont="1" applyFill="1" applyBorder="1" applyAlignment="1">
      <alignment horizontal="center" vertical="center"/>
    </xf>
    <xf numFmtId="168" fontId="36" fillId="41" borderId="0" xfId="0" applyNumberFormat="1" applyFont="1" applyFill="1" applyAlignment="1">
      <alignment horizontal="center" vertical="center"/>
    </xf>
    <xf numFmtId="168" fontId="36" fillId="41" borderId="26" xfId="0" applyNumberFormat="1" applyFont="1" applyFill="1" applyBorder="1" applyAlignment="1">
      <alignment horizontal="center" vertical="center"/>
    </xf>
    <xf numFmtId="3" fontId="32" fillId="35" borderId="1" xfId="439" applyNumberFormat="1" applyFont="1" applyFill="1" applyBorder="1" applyAlignment="1">
      <alignment vertical="center" wrapText="1"/>
    </xf>
    <xf numFmtId="0" fontId="22" fillId="35" borderId="26" xfId="0" applyFont="1" applyFill="1" applyBorder="1" applyAlignment="1">
      <alignment horizontal="center"/>
    </xf>
    <xf numFmtId="0" fontId="22" fillId="35" borderId="26" xfId="0" applyFont="1" applyFill="1" applyBorder="1" applyAlignment="1">
      <alignment horizontal="center" vertical="center"/>
    </xf>
    <xf numFmtId="0" fontId="23" fillId="35" borderId="26" xfId="0" applyFont="1" applyFill="1" applyBorder="1"/>
    <xf numFmtId="0" fontId="22" fillId="35" borderId="24" xfId="0" applyFont="1" applyFill="1" applyBorder="1" applyAlignment="1">
      <alignment horizontal="center" vertical="center"/>
    </xf>
    <xf numFmtId="0" fontId="31" fillId="35" borderId="26" xfId="0" applyFont="1" applyFill="1" applyBorder="1" applyAlignment="1">
      <alignment horizontal="center" vertical="center"/>
    </xf>
    <xf numFmtId="0" fontId="29" fillId="0" borderId="26" xfId="0" applyFont="1" applyBorder="1"/>
    <xf numFmtId="168" fontId="29" fillId="0" borderId="26" xfId="3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168" fontId="1" fillId="0" borderId="26" xfId="0" applyNumberFormat="1" applyFont="1" applyBorder="1" applyAlignment="1">
      <alignment horizontal="center"/>
    </xf>
    <xf numFmtId="168" fontId="43" fillId="0" borderId="0" xfId="0" applyNumberFormat="1" applyFont="1" applyAlignment="1">
      <alignment horizontal="center"/>
    </xf>
    <xf numFmtId="168" fontId="29" fillId="35" borderId="28" xfId="1" applyNumberFormat="1" applyFont="1" applyFill="1" applyBorder="1" applyAlignment="1">
      <alignment horizontal="center"/>
    </xf>
    <xf numFmtId="168" fontId="29" fillId="35" borderId="23" xfId="1" applyNumberFormat="1" applyFont="1" applyFill="1" applyBorder="1" applyAlignment="1">
      <alignment horizontal="center"/>
    </xf>
    <xf numFmtId="9" fontId="29" fillId="35" borderId="27" xfId="3" applyFont="1" applyFill="1" applyBorder="1" applyAlignment="1">
      <alignment horizontal="center"/>
    </xf>
    <xf numFmtId="3" fontId="54" fillId="37" borderId="26" xfId="0" applyNumberFormat="1" applyFont="1" applyFill="1" applyBorder="1" applyAlignment="1">
      <alignment horizontal="right"/>
    </xf>
    <xf numFmtId="3" fontId="54" fillId="0" borderId="26" xfId="0" applyNumberFormat="1" applyFont="1" applyBorder="1"/>
    <xf numFmtId="3" fontId="56" fillId="37" borderId="26" xfId="0" applyNumberFormat="1" applyFont="1" applyFill="1" applyBorder="1"/>
    <xf numFmtId="1" fontId="56" fillId="37" borderId="26" xfId="0" applyNumberFormat="1" applyFont="1" applyFill="1" applyBorder="1"/>
    <xf numFmtId="3" fontId="55" fillId="0" borderId="26" xfId="0" applyNumberFormat="1" applyFont="1" applyBorder="1" applyAlignment="1">
      <alignment horizontal="right"/>
    </xf>
    <xf numFmtId="3" fontId="23" fillId="2" borderId="26" xfId="0" applyNumberFormat="1" applyFont="1" applyFill="1" applyBorder="1" applyAlignment="1">
      <alignment horizontal="center"/>
    </xf>
    <xf numFmtId="3" fontId="77" fillId="37" borderId="26" xfId="0" applyNumberFormat="1" applyFont="1" applyFill="1" applyBorder="1" applyAlignment="1">
      <alignment horizontal="center"/>
    </xf>
    <xf numFmtId="168" fontId="77" fillId="0" borderId="26" xfId="0" applyNumberFormat="1" applyFont="1" applyBorder="1" applyAlignment="1">
      <alignment horizontal="center"/>
    </xf>
    <xf numFmtId="3" fontId="56" fillId="37" borderId="26" xfId="0" applyNumberFormat="1" applyFont="1" applyFill="1" applyBorder="1" applyAlignment="1">
      <alignment horizontal="center"/>
    </xf>
    <xf numFmtId="169" fontId="23" fillId="0" borderId="18" xfId="0" applyNumberFormat="1" applyFont="1" applyBorder="1"/>
    <xf numFmtId="177" fontId="23" fillId="0" borderId="1" xfId="0" applyNumberFormat="1" applyFont="1" applyBorder="1"/>
    <xf numFmtId="3" fontId="23" fillId="0" borderId="1" xfId="0" applyNumberFormat="1" applyFont="1" applyBorder="1"/>
    <xf numFmtId="177" fontId="23" fillId="0" borderId="0" xfId="0" applyNumberFormat="1" applyFont="1"/>
    <xf numFmtId="169" fontId="23" fillId="0" borderId="12" xfId="0" applyNumberFormat="1" applyFont="1" applyBorder="1" applyAlignment="1">
      <alignment horizontal="center"/>
    </xf>
    <xf numFmtId="177" fontId="23" fillId="0" borderId="16" xfId="0" applyNumberFormat="1" applyFont="1" applyBorder="1" applyAlignment="1">
      <alignment horizontal="center"/>
    </xf>
    <xf numFmtId="168" fontId="55" fillId="0" borderId="26" xfId="0" applyNumberFormat="1" applyFont="1" applyBorder="1" applyAlignment="1">
      <alignment horizontal="center" vertical="center"/>
    </xf>
    <xf numFmtId="3" fontId="54" fillId="0" borderId="21" xfId="0" applyNumberFormat="1" applyFont="1" applyBorder="1"/>
    <xf numFmtId="3" fontId="54" fillId="37" borderId="21" xfId="0" applyNumberFormat="1" applyFont="1" applyFill="1" applyBorder="1"/>
    <xf numFmtId="0" fontId="56" fillId="37" borderId="21" xfId="0" applyFont="1" applyFill="1" applyBorder="1"/>
    <xf numFmtId="3" fontId="54" fillId="0" borderId="12" xfId="0" applyNumberFormat="1" applyFont="1" applyBorder="1"/>
    <xf numFmtId="3" fontId="56" fillId="37" borderId="21" xfId="0" applyNumberFormat="1" applyFont="1" applyFill="1" applyBorder="1"/>
    <xf numFmtId="3" fontId="56" fillId="37" borderId="12" xfId="0" applyNumberFormat="1" applyFont="1" applyFill="1" applyBorder="1" applyAlignment="1">
      <alignment horizontal="right"/>
    </xf>
    <xf numFmtId="3" fontId="56" fillId="37" borderId="21" xfId="0" applyNumberFormat="1" applyFont="1" applyFill="1" applyBorder="1" applyAlignment="1">
      <alignment horizontal="right"/>
    </xf>
    <xf numFmtId="3" fontId="56" fillId="37" borderId="0" xfId="0" applyNumberFormat="1" applyFont="1" applyFill="1" applyAlignment="1">
      <alignment horizontal="right"/>
    </xf>
    <xf numFmtId="3" fontId="56" fillId="37" borderId="2" xfId="0" applyNumberFormat="1" applyFont="1" applyFill="1" applyBorder="1" applyAlignment="1">
      <alignment horizontal="right"/>
    </xf>
    <xf numFmtId="3" fontId="56" fillId="37" borderId="22" xfId="0" applyNumberFormat="1" applyFont="1" applyFill="1" applyBorder="1" applyAlignment="1">
      <alignment horizontal="right"/>
    </xf>
    <xf numFmtId="3" fontId="56" fillId="37" borderId="16" xfId="0" applyNumberFormat="1" applyFont="1" applyFill="1" applyBorder="1" applyAlignment="1">
      <alignment horizontal="right"/>
    </xf>
    <xf numFmtId="3" fontId="54" fillId="37" borderId="21" xfId="0" applyNumberFormat="1" applyFont="1" applyFill="1" applyBorder="1" applyAlignment="1">
      <alignment horizontal="right"/>
    </xf>
    <xf numFmtId="3" fontId="54" fillId="0" borderId="17" xfId="0" applyNumberFormat="1" applyFont="1" applyBorder="1"/>
    <xf numFmtId="3" fontId="56" fillId="37" borderId="12" xfId="0" applyNumberFormat="1" applyFont="1" applyFill="1" applyBorder="1"/>
    <xf numFmtId="1" fontId="56" fillId="37" borderId="21" xfId="0" applyNumberFormat="1" applyFont="1" applyFill="1" applyBorder="1"/>
    <xf numFmtId="1" fontId="56" fillId="37" borderId="17" xfId="0" applyNumberFormat="1" applyFont="1" applyFill="1" applyBorder="1"/>
    <xf numFmtId="3" fontId="55" fillId="0" borderId="21" xfId="0" applyNumberFormat="1" applyFont="1" applyBorder="1" applyAlignment="1">
      <alignment horizontal="right"/>
    </xf>
    <xf numFmtId="3" fontId="56" fillId="37" borderId="22" xfId="0" applyNumberFormat="1" applyFont="1" applyFill="1" applyBorder="1"/>
    <xf numFmtId="174" fontId="53" fillId="40" borderId="26" xfId="3" applyNumberFormat="1" applyFont="1" applyFill="1" applyBorder="1" applyAlignment="1">
      <alignment horizontal="center"/>
    </xf>
    <xf numFmtId="174" fontId="53" fillId="42" borderId="26" xfId="3" applyNumberFormat="1" applyFont="1" applyFill="1" applyBorder="1" applyAlignment="1">
      <alignment horizontal="center"/>
    </xf>
    <xf numFmtId="3" fontId="78" fillId="0" borderId="0" xfId="0" applyNumberFormat="1" applyFont="1" applyAlignment="1">
      <alignment horizontal="center"/>
    </xf>
    <xf numFmtId="0" fontId="36" fillId="41" borderId="0" xfId="0" applyFont="1" applyFill="1" applyAlignment="1">
      <alignment horizontal="center"/>
    </xf>
    <xf numFmtId="168" fontId="4" fillId="0" borderId="0" xfId="0" applyNumberFormat="1" applyFont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1" fontId="55" fillId="0" borderId="26" xfId="0" applyNumberFormat="1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3" fontId="54" fillId="0" borderId="26" xfId="0" applyNumberFormat="1" applyFont="1" applyBorder="1" applyAlignment="1">
      <alignment horizontal="center"/>
    </xf>
    <xf numFmtId="177" fontId="58" fillId="0" borderId="19" xfId="439" applyNumberFormat="1" applyFont="1" applyBorder="1" applyAlignment="1">
      <alignment horizontal="center"/>
    </xf>
    <xf numFmtId="0" fontId="33" fillId="0" borderId="1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8" fontId="29" fillId="0" borderId="12" xfId="3" applyNumberFormat="1" applyFont="1" applyFill="1" applyBorder="1" applyAlignment="1">
      <alignment horizontal="center"/>
    </xf>
    <xf numFmtId="168" fontId="29" fillId="0" borderId="17" xfId="3" applyNumberFormat="1" applyFont="1" applyFill="1" applyBorder="1" applyAlignment="1">
      <alignment horizontal="center"/>
    </xf>
    <xf numFmtId="168" fontId="40" fillId="0" borderId="16" xfId="0" applyNumberFormat="1" applyFont="1" applyBorder="1" applyAlignment="1">
      <alignment horizontal="center"/>
    </xf>
    <xf numFmtId="168" fontId="40" fillId="0" borderId="2" xfId="0" applyNumberFormat="1" applyFont="1" applyBorder="1" applyAlignment="1">
      <alignment horizontal="center"/>
    </xf>
    <xf numFmtId="168" fontId="40" fillId="0" borderId="20" xfId="0" applyNumberFormat="1" applyFont="1" applyBorder="1" applyAlignment="1">
      <alignment horizontal="center"/>
    </xf>
    <xf numFmtId="174" fontId="29" fillId="43" borderId="17" xfId="3" applyNumberFormat="1" applyFont="1" applyFill="1" applyBorder="1" applyAlignment="1">
      <alignment horizontal="center"/>
    </xf>
    <xf numFmtId="10" fontId="23" fillId="0" borderId="0" xfId="3" applyNumberFormat="1" applyFont="1" applyAlignment="1">
      <alignment horizontal="right"/>
    </xf>
    <xf numFmtId="174" fontId="0" fillId="0" borderId="0" xfId="3" applyNumberFormat="1" applyFont="1"/>
    <xf numFmtId="168" fontId="55" fillId="43" borderId="26" xfId="0" applyNumberFormat="1" applyFont="1" applyFill="1" applyBorder="1" applyAlignment="1">
      <alignment horizontal="center" vertical="center"/>
    </xf>
    <xf numFmtId="174" fontId="53" fillId="43" borderId="26" xfId="3" applyNumberFormat="1" applyFont="1" applyFill="1" applyBorder="1" applyAlignment="1">
      <alignment horizontal="center"/>
    </xf>
    <xf numFmtId="3" fontId="27" fillId="35" borderId="23" xfId="439" applyNumberFormat="1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/>
    </xf>
    <xf numFmtId="168" fontId="29" fillId="0" borderId="16" xfId="3" applyNumberFormat="1" applyFont="1" applyFill="1" applyBorder="1" applyAlignment="1">
      <alignment horizontal="center"/>
    </xf>
    <xf numFmtId="168" fontId="29" fillId="0" borderId="2" xfId="3" applyNumberFormat="1" applyFont="1" applyFill="1" applyBorder="1" applyAlignment="1">
      <alignment horizontal="center"/>
    </xf>
    <xf numFmtId="168" fontId="29" fillId="0" borderId="20" xfId="3" applyNumberFormat="1" applyFont="1" applyFill="1" applyBorder="1" applyAlignment="1">
      <alignment horizontal="center"/>
    </xf>
    <xf numFmtId="174" fontId="29" fillId="44" borderId="17" xfId="3" applyNumberFormat="1" applyFont="1" applyFill="1" applyBorder="1" applyAlignment="1">
      <alignment horizontal="center"/>
    </xf>
    <xf numFmtId="0" fontId="29" fillId="0" borderId="16" xfId="0" applyFont="1" applyBorder="1"/>
    <xf numFmtId="174" fontId="29" fillId="0" borderId="20" xfId="3" applyNumberFormat="1" applyFont="1" applyFill="1" applyBorder="1" applyAlignment="1">
      <alignment horizontal="center"/>
    </xf>
    <xf numFmtId="168" fontId="29" fillId="35" borderId="16" xfId="1" applyNumberFormat="1" applyFont="1" applyFill="1" applyBorder="1" applyAlignment="1">
      <alignment horizontal="center"/>
    </xf>
    <xf numFmtId="168" fontId="29" fillId="35" borderId="2" xfId="1" applyNumberFormat="1" applyFont="1" applyFill="1" applyBorder="1" applyAlignment="1">
      <alignment horizontal="center"/>
    </xf>
    <xf numFmtId="9" fontId="29" fillId="35" borderId="20" xfId="3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0" fontId="43" fillId="0" borderId="0" xfId="3" applyNumberFormat="1" applyFont="1" applyAlignment="1">
      <alignment horizontal="center"/>
    </xf>
    <xf numFmtId="10" fontId="43" fillId="40" borderId="0" xfId="3" applyNumberFormat="1" applyFont="1" applyFill="1" applyAlignment="1">
      <alignment horizontal="center"/>
    </xf>
    <xf numFmtId="10" fontId="43" fillId="0" borderId="0" xfId="3" applyNumberFormat="1" applyFont="1" applyFill="1" applyAlignment="1">
      <alignment horizontal="center"/>
    </xf>
    <xf numFmtId="10" fontId="27" fillId="35" borderId="26" xfId="3" applyNumberFormat="1" applyFont="1" applyFill="1" applyBorder="1" applyAlignment="1">
      <alignment horizontal="center" vertical="center" wrapText="1"/>
    </xf>
    <xf numFmtId="10" fontId="29" fillId="0" borderId="26" xfId="3" applyNumberFormat="1" applyFont="1" applyFill="1" applyBorder="1" applyAlignment="1">
      <alignment horizontal="center"/>
    </xf>
    <xf numFmtId="10" fontId="31" fillId="35" borderId="26" xfId="3" applyNumberFormat="1" applyFont="1" applyFill="1" applyBorder="1" applyAlignment="1">
      <alignment horizontal="center"/>
    </xf>
    <xf numFmtId="10" fontId="29" fillId="40" borderId="26" xfId="3" applyNumberFormat="1" applyFont="1" applyFill="1" applyBorder="1" applyAlignment="1">
      <alignment horizontal="center"/>
    </xf>
    <xf numFmtId="0" fontId="1" fillId="0" borderId="0" xfId="0" applyFont="1"/>
    <xf numFmtId="168" fontId="0" fillId="0" borderId="0" xfId="0" applyNumberForma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5" fillId="0" borderId="0" xfId="0" applyNumberFormat="1" applyFont="1" applyAlignment="1">
      <alignment horizontal="center"/>
    </xf>
    <xf numFmtId="3" fontId="78" fillId="43" borderId="0" xfId="0" applyNumberFormat="1" applyFont="1" applyFill="1" applyAlignment="1">
      <alignment horizontal="center"/>
    </xf>
    <xf numFmtId="0" fontId="1" fillId="0" borderId="18" xfId="0" applyFont="1" applyBorder="1" applyAlignment="1">
      <alignment horizontal="center" vertical="center"/>
    </xf>
    <xf numFmtId="165" fontId="0" fillId="0" borderId="19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5" fontId="0" fillId="0" borderId="17" xfId="1" applyFont="1" applyBorder="1" applyAlignment="1">
      <alignment horizontal="center" vertical="center"/>
    </xf>
    <xf numFmtId="10" fontId="0" fillId="0" borderId="17" xfId="3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8" fontId="0" fillId="0" borderId="33" xfId="0" applyNumberFormat="1" applyBorder="1" applyAlignment="1">
      <alignment horizontal="center" vertical="center"/>
    </xf>
    <xf numFmtId="165" fontId="0" fillId="0" borderId="33" xfId="1" applyFont="1" applyBorder="1" applyAlignment="1">
      <alignment horizontal="center" vertical="center"/>
    </xf>
    <xf numFmtId="165" fontId="0" fillId="0" borderId="20" xfId="1" applyFont="1" applyBorder="1" applyAlignment="1">
      <alignment horizontal="center" vertical="center"/>
    </xf>
    <xf numFmtId="10" fontId="36" fillId="0" borderId="0" xfId="0" applyNumberFormat="1" applyFont="1"/>
    <xf numFmtId="0" fontId="36" fillId="43" borderId="0" xfId="0" applyFont="1" applyFill="1"/>
    <xf numFmtId="0" fontId="25" fillId="43" borderId="0" xfId="0" applyFont="1" applyFill="1" applyAlignment="1">
      <alignment horizontal="left"/>
    </xf>
    <xf numFmtId="169" fontId="23" fillId="43" borderId="0" xfId="0" applyNumberFormat="1" applyFont="1" applyFill="1" applyAlignment="1">
      <alignment vertical="center"/>
    </xf>
    <xf numFmtId="169" fontId="23" fillId="43" borderId="0" xfId="0" applyNumberFormat="1" applyFont="1" applyFill="1" applyAlignment="1">
      <alignment horizontal="center"/>
    </xf>
    <xf numFmtId="2" fontId="23" fillId="43" borderId="0" xfId="0" applyNumberFormat="1" applyFont="1" applyFill="1" applyAlignment="1">
      <alignment horizontal="center"/>
    </xf>
    <xf numFmtId="167" fontId="22" fillId="43" borderId="0" xfId="1" applyNumberFormat="1" applyFont="1" applyFill="1" applyAlignment="1">
      <alignment horizontal="center"/>
    </xf>
    <xf numFmtId="3" fontId="2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0" fontId="22" fillId="35" borderId="26" xfId="0" applyFont="1" applyFill="1" applyBorder="1" applyAlignment="1">
      <alignment horizontal="center" vertical="center" wrapText="1"/>
    </xf>
    <xf numFmtId="0" fontId="22" fillId="35" borderId="26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35" borderId="26" xfId="0" applyFont="1" applyFill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2" fillId="35" borderId="18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vertical="center" wrapText="1"/>
    </xf>
    <xf numFmtId="0" fontId="22" fillId="35" borderId="0" xfId="0" applyFont="1" applyFill="1" applyAlignment="1">
      <alignment vertical="center" wrapText="1"/>
    </xf>
    <xf numFmtId="0" fontId="22" fillId="35" borderId="1" xfId="0" applyFont="1" applyFill="1" applyBorder="1" applyAlignment="1">
      <alignment horizontal="center"/>
    </xf>
    <xf numFmtId="0" fontId="22" fillId="35" borderId="24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57" fillId="2" borderId="18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57" fillId="2" borderId="19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3" fontId="57" fillId="2" borderId="24" xfId="439" applyNumberFormat="1" applyFont="1" applyFill="1" applyBorder="1" applyAlignment="1">
      <alignment horizontal="center" vertical="center" wrapText="1"/>
    </xf>
    <xf numFmtId="3" fontId="57" fillId="2" borderId="21" xfId="439" applyNumberFormat="1" applyFont="1" applyFill="1" applyBorder="1" applyAlignment="1">
      <alignment horizontal="center" vertical="center" wrapText="1"/>
    </xf>
    <xf numFmtId="3" fontId="57" fillId="2" borderId="22" xfId="439" applyNumberFormat="1" applyFont="1" applyFill="1" applyBorder="1" applyAlignment="1">
      <alignment horizontal="center" vertical="center" wrapText="1"/>
    </xf>
    <xf numFmtId="49" fontId="57" fillId="2" borderId="12" xfId="0" applyNumberFormat="1" applyFont="1" applyFill="1" applyBorder="1" applyAlignment="1">
      <alignment vertical="center" wrapText="1"/>
    </xf>
    <xf numFmtId="49" fontId="57" fillId="2" borderId="16" xfId="0" applyNumberFormat="1" applyFont="1" applyFill="1" applyBorder="1" applyAlignment="1">
      <alignment vertical="center" wrapText="1"/>
    </xf>
    <xf numFmtId="49" fontId="57" fillId="2" borderId="0" xfId="0" applyNumberFormat="1" applyFont="1" applyFill="1" applyAlignment="1">
      <alignment vertical="center" wrapText="1"/>
    </xf>
    <xf numFmtId="49" fontId="57" fillId="2" borderId="2" xfId="0" applyNumberFormat="1" applyFont="1" applyFill="1" applyBorder="1" applyAlignment="1">
      <alignment vertical="center" wrapText="1"/>
    </xf>
    <xf numFmtId="49" fontId="57" fillId="2" borderId="17" xfId="0" applyNumberFormat="1" applyFont="1" applyFill="1" applyBorder="1" applyAlignment="1">
      <alignment horizontal="center" vertical="center" wrapText="1"/>
    </xf>
    <xf numFmtId="49" fontId="57" fillId="2" borderId="20" xfId="0" applyNumberFormat="1" applyFont="1" applyFill="1" applyBorder="1" applyAlignment="1">
      <alignment horizontal="center" vertical="center" wrapText="1"/>
    </xf>
    <xf numFmtId="17" fontId="57" fillId="2" borderId="17" xfId="0" applyNumberFormat="1" applyFont="1" applyFill="1" applyBorder="1" applyAlignment="1">
      <alignment horizontal="center" vertical="center" wrapText="1"/>
    </xf>
    <xf numFmtId="17" fontId="57" fillId="2" borderId="20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3" fontId="35" fillId="35" borderId="28" xfId="439" applyNumberFormat="1" applyFont="1" applyFill="1" applyBorder="1" applyAlignment="1">
      <alignment horizontal="center" vertical="center" wrapText="1"/>
    </xf>
    <xf numFmtId="3" fontId="35" fillId="35" borderId="27" xfId="439" applyNumberFormat="1" applyFont="1" applyFill="1" applyBorder="1" applyAlignment="1">
      <alignment horizontal="center" vertical="center" wrapText="1"/>
    </xf>
    <xf numFmtId="3" fontId="27" fillId="35" borderId="28" xfId="439" applyNumberFormat="1" applyFont="1" applyFill="1" applyBorder="1" applyAlignment="1">
      <alignment horizontal="center" vertical="center" wrapText="1"/>
    </xf>
    <xf numFmtId="3" fontId="27" fillId="35" borderId="23" xfId="439" applyNumberFormat="1" applyFont="1" applyFill="1" applyBorder="1" applyAlignment="1">
      <alignment horizontal="center" vertical="center" wrapText="1"/>
    </xf>
    <xf numFmtId="3" fontId="27" fillId="35" borderId="27" xfId="439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27" fillId="35" borderId="24" xfId="439" applyNumberFormat="1" applyFont="1" applyFill="1" applyBorder="1" applyAlignment="1">
      <alignment horizontal="center" vertical="center" wrapText="1"/>
    </xf>
    <xf numFmtId="3" fontId="27" fillId="35" borderId="22" xfId="43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3" fontId="32" fillId="36" borderId="1" xfId="439" applyNumberFormat="1" applyFont="1" applyFill="1" applyBorder="1" applyAlignment="1">
      <alignment horizontal="center" vertical="center" wrapText="1"/>
    </xf>
    <xf numFmtId="3" fontId="32" fillId="36" borderId="2" xfId="43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3" fontId="32" fillId="36" borderId="30" xfId="439" applyNumberFormat="1" applyFont="1" applyFill="1" applyBorder="1" applyAlignment="1">
      <alignment horizontal="center" vertical="center" wrapText="1"/>
    </xf>
    <xf numFmtId="3" fontId="32" fillId="36" borderId="25" xfId="439" applyNumberFormat="1" applyFont="1" applyFill="1" applyBorder="1" applyAlignment="1">
      <alignment horizontal="center" vertical="center" wrapText="1"/>
    </xf>
    <xf numFmtId="0" fontId="31" fillId="35" borderId="1" xfId="0" applyFont="1" applyFill="1" applyBorder="1" applyAlignment="1">
      <alignment horizontal="center" vertical="center"/>
    </xf>
    <xf numFmtId="0" fontId="31" fillId="35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33" fillId="35" borderId="1" xfId="0" applyNumberFormat="1" applyFont="1" applyFill="1" applyBorder="1" applyAlignment="1">
      <alignment horizontal="center" vertical="center"/>
    </xf>
    <xf numFmtId="17" fontId="33" fillId="35" borderId="19" xfId="0" applyNumberFormat="1" applyFont="1" applyFill="1" applyBorder="1" applyAlignment="1">
      <alignment horizontal="center" vertical="center"/>
    </xf>
    <xf numFmtId="0" fontId="31" fillId="35" borderId="19" xfId="0" applyFont="1" applyFill="1" applyBorder="1" applyAlignment="1">
      <alignment horizontal="center" vertical="center"/>
    </xf>
    <xf numFmtId="0" fontId="45" fillId="0" borderId="0" xfId="0" applyFont="1" applyAlignment="1">
      <alignment horizontal="justify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3" fontId="32" fillId="35" borderId="18" xfId="439" applyNumberFormat="1" applyFont="1" applyFill="1" applyBorder="1" applyAlignment="1">
      <alignment horizontal="center" vertical="center" wrapText="1"/>
    </xf>
    <xf numFmtId="3" fontId="32" fillId="35" borderId="16" xfId="439" applyNumberFormat="1" applyFont="1" applyFill="1" applyBorder="1" applyAlignment="1">
      <alignment horizontal="center" vertical="center" wrapText="1"/>
    </xf>
    <xf numFmtId="49" fontId="32" fillId="36" borderId="1" xfId="439" applyNumberFormat="1" applyFont="1" applyFill="1" applyBorder="1" applyAlignment="1">
      <alignment horizontal="center" vertical="center" wrapText="1"/>
    </xf>
    <xf numFmtId="49" fontId="32" fillId="36" borderId="2" xfId="439" applyNumberFormat="1" applyFont="1" applyFill="1" applyBorder="1" applyAlignment="1">
      <alignment horizontal="center" vertical="center" wrapText="1"/>
    </xf>
    <xf numFmtId="17" fontId="1" fillId="0" borderId="28" xfId="0" applyNumberFormat="1" applyFont="1" applyBorder="1" applyAlignment="1">
      <alignment horizontal="center"/>
    </xf>
    <xf numFmtId="17" fontId="1" fillId="0" borderId="23" xfId="0" applyNumberFormat="1" applyFont="1" applyBorder="1" applyAlignment="1">
      <alignment horizontal="center"/>
    </xf>
    <xf numFmtId="17" fontId="1" fillId="0" borderId="2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31" fillId="35" borderId="18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8" fontId="55" fillId="0" borderId="26" xfId="0" applyNumberFormat="1" applyFont="1" applyFill="1" applyBorder="1" applyAlignment="1">
      <alignment horizontal="center" vertical="center"/>
    </xf>
  </cellXfs>
  <cellStyles count="1112">
    <cellStyle name="20% - Énfasis1" xfId="23" builtinId="30" customBuiltin="1"/>
    <cellStyle name="20% - Énfasis1 2" xfId="572" xr:uid="{1F333339-3D2A-46B5-AA70-0B659D318F5D}"/>
    <cellStyle name="20% - Énfasis1 3" xfId="573" xr:uid="{E19B9886-2267-48CE-A845-D9EBAE056910}"/>
    <cellStyle name="20% - Énfasis2" xfId="27" builtinId="34" customBuiltin="1"/>
    <cellStyle name="20% - Énfasis2 2" xfId="574" xr:uid="{1B1FE3C7-FA5C-4410-9971-A6B1871DF9CB}"/>
    <cellStyle name="20% - Énfasis2 3" xfId="575" xr:uid="{EBCD4646-9455-4605-B07A-CDFFD10697B6}"/>
    <cellStyle name="20% - Énfasis3" xfId="31" builtinId="38" customBuiltin="1"/>
    <cellStyle name="20% - Énfasis3 2" xfId="441" xr:uid="{71E2E802-73AA-44AB-B7A6-C7F46F0736E0}"/>
    <cellStyle name="20% - Énfasis3 2 2" xfId="624" xr:uid="{DA8A76C7-8AAB-4F90-A9A0-956C947B62CF}"/>
    <cellStyle name="20% - Énfasis3 2 3" xfId="963" xr:uid="{4D80157F-27C1-4CD5-89EB-FE6897F78543}"/>
    <cellStyle name="20% - Énfasis3 2 4" xfId="982" xr:uid="{303F13E6-BC7B-4E06-82CF-65A3A224D354}"/>
    <cellStyle name="20% - Énfasis3 3" xfId="576" xr:uid="{F6CD50B4-DBB3-42E1-945C-4BDE72834A8F}"/>
    <cellStyle name="20% - Énfasis4" xfId="35" builtinId="42" customBuiltin="1"/>
    <cellStyle name="20% - Énfasis4 2" xfId="577" xr:uid="{A285B5E8-AC8E-42E9-AB6E-F206C07F1683}"/>
    <cellStyle name="20% - Énfasis4 3" xfId="578" xr:uid="{7E3E15FE-7CFA-4136-8D13-1BB8A4D3F2F3}"/>
    <cellStyle name="20% - Énfasis5" xfId="39" builtinId="46" customBuiltin="1"/>
    <cellStyle name="20% - Énfasis5 2" xfId="579" xr:uid="{4BFDF138-C1C1-4D1C-8427-900223A1F232}"/>
    <cellStyle name="20% - Énfasis5 3" xfId="580" xr:uid="{96BEB48D-AF2F-4317-AE2D-04CFC5FF436C}"/>
    <cellStyle name="20% - Énfasis6" xfId="43" builtinId="50" customBuiltin="1"/>
    <cellStyle name="20% - Énfasis6 2" xfId="581" xr:uid="{6703299E-75B1-4372-850F-D6E65EDEF421}"/>
    <cellStyle name="20% - Énfasis6 3" xfId="582" xr:uid="{DF655050-564A-49D0-82D3-1A471674CF40}"/>
    <cellStyle name="40% - Énfasis1" xfId="24" builtinId="31" customBuiltin="1"/>
    <cellStyle name="40% - Énfasis1 2" xfId="583" xr:uid="{C43C707E-971D-4022-B7EF-970C08A2EF09}"/>
    <cellStyle name="40% - Énfasis1 3" xfId="584" xr:uid="{29AD158B-643E-4115-9BCF-45649FB2ABD1}"/>
    <cellStyle name="40% - Énfasis2" xfId="28" builtinId="35" customBuiltin="1"/>
    <cellStyle name="40% - Énfasis2 2" xfId="585" xr:uid="{B4F9B1BB-6677-4063-824A-3012129FDFB1}"/>
    <cellStyle name="40% - Énfasis2 3" xfId="586" xr:uid="{63ABAC0A-7592-4940-9755-07F240FE935B}"/>
    <cellStyle name="40% - Énfasis3" xfId="32" builtinId="39" customBuiltin="1"/>
    <cellStyle name="40% - Énfasis3 2" xfId="587" xr:uid="{DEBA44BE-002D-4064-AC0E-8CE10DB8FE92}"/>
    <cellStyle name="40% - Énfasis3 3" xfId="588" xr:uid="{575BF27D-485C-4951-B146-2335EB93EDF1}"/>
    <cellStyle name="40% - Énfasis4" xfId="36" builtinId="43" customBuiltin="1"/>
    <cellStyle name="40% - Énfasis4 2" xfId="589" xr:uid="{6EE320C6-208D-4B50-80D8-4892BF60B9F0}"/>
    <cellStyle name="40% - Énfasis4 3" xfId="590" xr:uid="{2764A1A4-0038-4F0F-A031-B5CB34DB7F42}"/>
    <cellStyle name="40% - Énfasis5" xfId="40" builtinId="47" customBuiltin="1"/>
    <cellStyle name="40% - Énfasis5 2" xfId="591" xr:uid="{2399CA84-CECD-42A5-B290-4EA05A5C3C4B}"/>
    <cellStyle name="40% - Énfasis5 3" xfId="592" xr:uid="{657DC678-EA6C-4C70-A700-481D8D2CC30C}"/>
    <cellStyle name="40% - Énfasis6" xfId="44" builtinId="51" customBuiltin="1"/>
    <cellStyle name="40% - Énfasis6 2" xfId="593" xr:uid="{48E6E2DB-12C6-47C5-841C-AA0B729A9559}"/>
    <cellStyle name="40% - Énfasis6 3" xfId="594" xr:uid="{D1A8FF89-CD6A-49C9-BD1B-C17865C12D4B}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álculo 2" xfId="442" xr:uid="{16191CBE-EB47-4FB9-B87A-F6ECBA9E6690}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Entrada 2" xfId="443" xr:uid="{FBD8D96C-0062-4BD0-AA80-9CCE6597177B}"/>
    <cellStyle name="Euro" xfId="46" xr:uid="{00000000-0005-0000-0000-00001F000000}"/>
    <cellStyle name="Euro 2" xfId="47" xr:uid="{00000000-0005-0000-0000-000020000000}"/>
    <cellStyle name="Euro 3" xfId="48" xr:uid="{00000000-0005-0000-0000-000021000000}"/>
    <cellStyle name="Euro 4" xfId="49" xr:uid="{00000000-0005-0000-0000-000022000000}"/>
    <cellStyle name="Euro 5" xfId="50" xr:uid="{00000000-0005-0000-0000-000023000000}"/>
    <cellStyle name="Excel Built-in Normal" xfId="570" xr:uid="{EE25C5C9-5204-483E-8506-3C2ECE366DDD}"/>
    <cellStyle name="Excel Built-in Normal 1" xfId="571" xr:uid="{D1260369-B1F8-410F-8A63-651CFF3A1FA5}"/>
    <cellStyle name="Excel Built-in Normal 2" xfId="625" xr:uid="{88C236B7-13E8-440A-BE95-00C1CFC7684B}"/>
    <cellStyle name="Excel Built-in Normal 3" xfId="626" xr:uid="{3104466C-C5F7-4FAF-8E98-662E373A3009}"/>
    <cellStyle name="Heading" xfId="444" xr:uid="{B23EB4F2-DD99-4E94-89C8-51D72137409A}"/>
    <cellStyle name="Heading 2" xfId="627" xr:uid="{C24371C9-3AC1-46ED-BA22-52F123E91EE7}"/>
    <cellStyle name="Heading 3" xfId="628" xr:uid="{8DAF470A-595C-428C-9347-A80A188EE4F8}"/>
    <cellStyle name="Heading1" xfId="445" xr:uid="{48D7B638-3BC7-46A0-B147-841FACB4AA2E}"/>
    <cellStyle name="Heading1 2" xfId="629" xr:uid="{DAA7AF99-F30B-4C1D-BBBC-90772C868012}"/>
    <cellStyle name="Heading1 3" xfId="630" xr:uid="{50F5D736-FFD1-4918-97E3-1030A6CB1B73}"/>
    <cellStyle name="Hipervínculo 2" xfId="1021" xr:uid="{72B40888-D8DF-4EE1-90F0-38DAE7BA7458}"/>
    <cellStyle name="Hipervínculo 3" xfId="979" xr:uid="{07C665DE-952D-42C3-8982-D211898DE38E}"/>
    <cellStyle name="Incorrecto" xfId="11" builtinId="27" customBuiltin="1"/>
    <cellStyle name="Millares" xfId="1" builtinId="3"/>
    <cellStyle name="Millares [0] 10" xfId="631" xr:uid="{02389729-CEF7-41BF-835B-3A1225865FBC}"/>
    <cellStyle name="Millares [0] 11" xfId="972" xr:uid="{073F0D91-B87D-414C-A3EF-9C4CA583E211}"/>
    <cellStyle name="Millares [0] 2" xfId="632" xr:uid="{E2DBA10A-761C-44E2-9DE5-16C627DB0077}"/>
    <cellStyle name="Millares [0] 2 10" xfId="633" xr:uid="{9E47CE08-4A23-49AB-B437-B6512A8913E2}"/>
    <cellStyle name="Millares [0] 2 11" xfId="634" xr:uid="{2E4BB276-9AA1-471B-BC22-6069C48420AE}"/>
    <cellStyle name="Millares [0] 2 12" xfId="635" xr:uid="{D4584A14-19D4-4FB1-8F37-DCD07AA5F084}"/>
    <cellStyle name="Millares [0] 2 13" xfId="636" xr:uid="{09F5AB91-7D47-4083-A646-B02906E7FB49}"/>
    <cellStyle name="Millares [0] 2 14" xfId="637" xr:uid="{DD89B109-B2D9-4367-984D-183642234F3D}"/>
    <cellStyle name="Millares [0] 2 15" xfId="638" xr:uid="{DCD16C44-8FAB-4464-8AEC-36AC4CDD3C0B}"/>
    <cellStyle name="Millares [0] 2 16" xfId="639" xr:uid="{683D4519-6065-4A4F-9BDE-473C4976FB5B}"/>
    <cellStyle name="Millares [0] 2 17" xfId="640" xr:uid="{F2C74B84-92F1-4563-AEC3-1EFE8EEFF33A}"/>
    <cellStyle name="Millares [0] 2 18" xfId="641" xr:uid="{98D3FA5C-0943-456F-B2C4-D4D72BA1DC6C}"/>
    <cellStyle name="Millares [0] 2 19" xfId="642" xr:uid="{760BE5F3-F5AF-419F-952C-AB8E7DFB3E4C}"/>
    <cellStyle name="Millares [0] 2 2" xfId="643" xr:uid="{08669B15-ED3B-43D1-9BD4-0E681E0A6597}"/>
    <cellStyle name="Millares [0] 2 20" xfId="644" xr:uid="{A4690562-F564-414E-A735-38759264763A}"/>
    <cellStyle name="Millares [0] 2 21" xfId="645" xr:uid="{61B4A9D5-3D64-424D-B8FA-200A1C96E83F}"/>
    <cellStyle name="Millares [0] 2 22" xfId="646" xr:uid="{D9F79A0E-7E58-4960-85ED-B2C5A898984B}"/>
    <cellStyle name="Millares [0] 2 23" xfId="647" xr:uid="{D6FBDB12-88BD-4DC0-B95D-BB01B388EECC}"/>
    <cellStyle name="Millares [0] 2 24" xfId="648" xr:uid="{E715D885-B6C6-4F0B-8552-FBEFDC3F4802}"/>
    <cellStyle name="Millares [0] 2 25" xfId="649" xr:uid="{5B4D920F-0CA7-43FD-858E-9DD07D33216C}"/>
    <cellStyle name="Millares [0] 2 26" xfId="650" xr:uid="{A42A3915-91CC-4643-8035-0451F138EDE3}"/>
    <cellStyle name="Millares [0] 2 27" xfId="651" xr:uid="{4E556AD5-E84B-4A05-B118-27601F161E0B}"/>
    <cellStyle name="Millares [0] 2 28" xfId="652" xr:uid="{0E5748EC-C12D-4BB1-B083-9EFD1F7C3E05}"/>
    <cellStyle name="Millares [0] 2 29" xfId="653" xr:uid="{8E64A09E-2397-42A9-82C8-F794DBB6106E}"/>
    <cellStyle name="Millares [0] 2 3" xfId="654" xr:uid="{9EA4E812-B0B3-4203-8254-63892E16F5EA}"/>
    <cellStyle name="Millares [0] 2 30" xfId="655" xr:uid="{98ABB36B-1956-4B22-AB15-3FFEA64F92B4}"/>
    <cellStyle name="Millares [0] 2 31" xfId="656" xr:uid="{FFE92433-C650-47DB-A7D1-A63EE34D9FF8}"/>
    <cellStyle name="Millares [0] 2 32" xfId="657" xr:uid="{F65F38C1-8199-414D-9F07-0B0E6FF0459A}"/>
    <cellStyle name="Millares [0] 2 33" xfId="658" xr:uid="{1FDB2975-C642-4BC8-95B4-0B0F423B27A1}"/>
    <cellStyle name="Millares [0] 2 34" xfId="659" xr:uid="{EEDE47BF-EAE3-43FA-9529-0BFAA87E645F}"/>
    <cellStyle name="Millares [0] 2 35" xfId="660" xr:uid="{8C7EE823-AF7F-4BC7-9F8B-89C7D578F2AC}"/>
    <cellStyle name="Millares [0] 2 36" xfId="661" xr:uid="{EE494E9A-E32A-4D75-9722-25B915A3202E}"/>
    <cellStyle name="Millares [0] 2 37" xfId="662" xr:uid="{42849CAA-B33C-43EF-AB8B-F0EABF421524}"/>
    <cellStyle name="Millares [0] 2 38" xfId="663" xr:uid="{C17213F1-9771-457B-B9F3-73F9FFB655D9}"/>
    <cellStyle name="Millares [0] 2 39" xfId="664" xr:uid="{B4235F55-6AE2-4BD6-BD24-B85CC21B4F8A}"/>
    <cellStyle name="Millares [0] 2 4" xfId="665" xr:uid="{CD42EE85-CC6B-41B4-A567-ACD40877C71D}"/>
    <cellStyle name="Millares [0] 2 40" xfId="666" xr:uid="{7E38CD4D-1460-455F-B28E-82B4305D780A}"/>
    <cellStyle name="Millares [0] 2 41" xfId="667" xr:uid="{3FB09826-049C-4581-AC8B-5BD3C46DC32B}"/>
    <cellStyle name="Millares [0] 2 42" xfId="668" xr:uid="{E7E7A344-D716-49F4-9425-888F14F612C4}"/>
    <cellStyle name="Millares [0] 2 43" xfId="669" xr:uid="{D9ACDE4B-A6BB-4108-A4D3-514C55A88D58}"/>
    <cellStyle name="Millares [0] 2 44" xfId="670" xr:uid="{8C22E35C-15E2-4FCB-92E2-548E269B9837}"/>
    <cellStyle name="Millares [0] 2 45" xfId="671" xr:uid="{F6750613-A059-4ACC-813F-2077C573262E}"/>
    <cellStyle name="Millares [0] 2 46" xfId="672" xr:uid="{07E259EC-165F-40ED-9674-BBA7EE78E72A}"/>
    <cellStyle name="Millares [0] 2 47" xfId="673" xr:uid="{2EDE88D9-D46F-4F1E-ACB9-AEC924345CC5}"/>
    <cellStyle name="Millares [0] 2 48" xfId="674" xr:uid="{4401E907-5A6D-400C-8A8C-29E01EA6B24D}"/>
    <cellStyle name="Millares [0] 2 49" xfId="675" xr:uid="{C42FEA2B-5C7A-48F1-95A9-E35C26DD5924}"/>
    <cellStyle name="Millares [0] 2 5" xfId="676" xr:uid="{2B4039C3-19A5-4255-931D-E1CE512DDCEE}"/>
    <cellStyle name="Millares [0] 2 50" xfId="677" xr:uid="{9DD637E8-995B-413C-9198-CC595C4E1836}"/>
    <cellStyle name="Millares [0] 2 51" xfId="678" xr:uid="{69CCCD0A-8446-4EDA-AC44-E874FAB60E15}"/>
    <cellStyle name="Millares [0] 2 52" xfId="679" xr:uid="{1196A048-97EB-468C-88C9-141F767DB9D4}"/>
    <cellStyle name="Millares [0] 2 53" xfId="680" xr:uid="{4B24713A-E5AC-463D-8091-07E9F5792D39}"/>
    <cellStyle name="Millares [0] 2 54" xfId="681" xr:uid="{DF743E94-8EE7-4EAE-A3CB-42BA81E7B4DE}"/>
    <cellStyle name="Millares [0] 2 55" xfId="682" xr:uid="{C77C66D6-D2C8-4CE3-8D15-52BBBBCBF5A1}"/>
    <cellStyle name="Millares [0] 2 56" xfId="683" xr:uid="{B114A0E0-85F5-4F4D-9CD0-82CCCAD0EA2E}"/>
    <cellStyle name="Millares [0] 2 57" xfId="684" xr:uid="{48EFC2A6-39ED-4F59-9858-56470C181A6A}"/>
    <cellStyle name="Millares [0] 2 58" xfId="685" xr:uid="{49CE772B-334A-410A-8128-4E23272BF17D}"/>
    <cellStyle name="Millares [0] 2 59" xfId="686" xr:uid="{7B450337-FDBB-4C3D-8CE8-5CC0D16D3279}"/>
    <cellStyle name="Millares [0] 2 6" xfId="687" xr:uid="{646F5427-46DC-4954-A9DB-C4577EC6953D}"/>
    <cellStyle name="Millares [0] 2 7" xfId="688" xr:uid="{4FF49C17-81A0-4494-BD45-0BB8CBA73AE9}"/>
    <cellStyle name="Millares [0] 2 8" xfId="689" xr:uid="{55080B78-E5A8-4A04-BE9C-004E6D04C73A}"/>
    <cellStyle name="Millares [0] 2 9" xfId="690" xr:uid="{4B90C922-03BA-463A-90BD-05854FBEC6D5}"/>
    <cellStyle name="Millares [0] 3" xfId="691" xr:uid="{2C8801FD-064C-4A24-A844-D03F9F21A9A2}"/>
    <cellStyle name="Millares [0] 4" xfId="692" xr:uid="{CA84A9BC-B350-45AB-A719-A77E0F7F10C0}"/>
    <cellStyle name="Millares [0] 5" xfId="693" xr:uid="{2DB12530-AAAB-4895-99B6-0953F2052889}"/>
    <cellStyle name="Millares [0] 6" xfId="694" xr:uid="{FAEF4AE0-6AAB-4B5F-A86F-01F97B1E389F}"/>
    <cellStyle name="Millares [0] 7" xfId="695" xr:uid="{D1D72177-2FA3-44D8-9567-E995694D85D5}"/>
    <cellStyle name="Millares [0] 8" xfId="696" xr:uid="{825A4F77-3FD2-44EA-B626-7D0BEC5C46F0}"/>
    <cellStyle name="Millares [0] 9" xfId="697" xr:uid="{D5310A68-F5F1-4588-BC1A-ABB68B12EB9C}"/>
    <cellStyle name="Millares 10" xfId="698" xr:uid="{F3598632-C0B9-40E4-88FB-0CB83ADAA17E}"/>
    <cellStyle name="Millares 11" xfId="699" xr:uid="{4B98CA96-42C9-4249-8A07-287B2533F535}"/>
    <cellStyle name="Millares 12" xfId="700" xr:uid="{F431C5A6-AAD3-450A-9FDE-06B936380328}"/>
    <cellStyle name="Millares 13" xfId="701" xr:uid="{8809FA25-E892-4009-ABED-BCCCF3B82DFD}"/>
    <cellStyle name="Millares 14" xfId="702" xr:uid="{A7ACAA75-A774-41AD-800B-634CD7673446}"/>
    <cellStyle name="Millares 15" xfId="703" xr:uid="{40CCBBA0-8C70-4FAB-AFE1-CF712E53D173}"/>
    <cellStyle name="Millares 16" xfId="704" xr:uid="{012D58CA-412A-43A5-AEDF-D4BE68C743D6}"/>
    <cellStyle name="Millares 17" xfId="705" xr:uid="{3C194FF9-16BD-439B-9204-8F54EB0743EE}"/>
    <cellStyle name="Millares 18" xfId="706" xr:uid="{7E68BD29-9C24-45BE-B535-36E7A6214740}"/>
    <cellStyle name="Millares 19" xfId="707" xr:uid="{421DF9BB-12D7-45A1-948C-95193512B9C3}"/>
    <cellStyle name="Millares 2" xfId="51" xr:uid="{00000000-0005-0000-0000-000026000000}"/>
    <cellStyle name="Millares 2 2" xfId="447" xr:uid="{E9D76654-A84D-43EB-97C6-998BA801ABF4}"/>
    <cellStyle name="Millares 2 2 2" xfId="448" xr:uid="{E18DB92A-6B54-4254-892F-39C186398771}"/>
    <cellStyle name="Millares 2 2 2 2" xfId="1035" xr:uid="{21A58D7B-4B91-45C1-AEED-2A8E6956D30A}"/>
    <cellStyle name="Millares 2 2 2 2 2" xfId="1089" xr:uid="{757AC7B5-AD4F-4CCE-8F73-D7DFF5CA3DDC}"/>
    <cellStyle name="Millares 2 2 2 3" xfId="985" xr:uid="{C44D02BE-B724-43E6-8B78-67EE6C245AD0}"/>
    <cellStyle name="Millares 2 2 2 4" xfId="1062" xr:uid="{BF007D40-2B82-40D4-9A53-3070A93CCE06}"/>
    <cellStyle name="Millares 2 2 3" xfId="1034" xr:uid="{497837A7-1E77-43DA-8F7F-F766A19596CC}"/>
    <cellStyle name="Millares 2 2 3 2" xfId="1088" xr:uid="{00B1A0A1-E365-4BFC-87E5-2893A8514F9F}"/>
    <cellStyle name="Millares 2 2 4" xfId="984" xr:uid="{093500F5-2040-45F3-BB3F-A5E4605F9A54}"/>
    <cellStyle name="Millares 2 2 5" xfId="1061" xr:uid="{043CA4E5-667B-4568-960C-CDD98623C2E5}"/>
    <cellStyle name="Millares 2 3" xfId="449" xr:uid="{D425E3BD-CECB-49FB-B385-7B5FEBC6EB4F}"/>
    <cellStyle name="Millares 2 3 2" xfId="1036" xr:uid="{85014B9F-AE6A-414E-9F44-0468D2CE4687}"/>
    <cellStyle name="Millares 2 3 2 2" xfId="1090" xr:uid="{C969547C-FC2C-4568-970C-5A1F1C681829}"/>
    <cellStyle name="Millares 2 3 3" xfId="986" xr:uid="{EDAB70A0-91BF-468A-886D-44AB475B4F91}"/>
    <cellStyle name="Millares 2 3 4" xfId="1063" xr:uid="{572C8A99-B1A7-43B5-B77E-75302C951785}"/>
    <cellStyle name="Millares 2 4" xfId="708" xr:uid="{00410F8C-03FF-4439-B60E-9B15CB391DBF}"/>
    <cellStyle name="Millares 2 5" xfId="446" xr:uid="{4F404263-AB27-49F7-BA48-33A4F0A9BD0E}"/>
    <cellStyle name="Millares 2 5 2" xfId="1054" xr:uid="{10296153-146D-478D-ACF0-F47CDB37DC96}"/>
    <cellStyle name="Millares 2 5 2 2" xfId="1108" xr:uid="{8EB86201-8D7B-4EDE-AE0D-38440A894C30}"/>
    <cellStyle name="Millares 2 5 3" xfId="1024" xr:uid="{BF9E8F12-AB1A-4444-988F-DC731278BB65}"/>
    <cellStyle name="Millares 2 5 4" xfId="1081" xr:uid="{D5161EC4-C422-4AB6-A560-49E0C3D6EEA0}"/>
    <cellStyle name="Millares 2 6" xfId="1033" xr:uid="{88785185-8763-4610-8822-7A7C86589012}"/>
    <cellStyle name="Millares 2 6 2" xfId="1087" xr:uid="{07FC01DA-B773-4048-AF49-300A081372ED}"/>
    <cellStyle name="Millares 2 7" xfId="983" xr:uid="{F4D08EB6-416A-4CB5-BC56-967C3D79DE49}"/>
    <cellStyle name="Millares 2 8" xfId="1060" xr:uid="{B8C3AE5C-692B-4C6A-852E-8FFB2E259FDF}"/>
    <cellStyle name="Millares 20" xfId="709" xr:uid="{D1626698-B2C1-4839-A2B0-82BEE333F1D7}"/>
    <cellStyle name="Millares 21" xfId="710" xr:uid="{84603135-1431-40DE-90D3-0C532B46491C}"/>
    <cellStyle name="Millares 22" xfId="711" xr:uid="{708C724D-FCCB-4ECA-B09F-F7D84A85D903}"/>
    <cellStyle name="Millares 23" xfId="712" xr:uid="{B9282DD1-4B9D-4220-AD68-DD12B86C936A}"/>
    <cellStyle name="Millares 24" xfId="713" xr:uid="{D72DAC93-B1EE-4B95-99FD-3AF3677A36AB}"/>
    <cellStyle name="Millares 25" xfId="714" xr:uid="{6FBBDDA1-8F96-48D5-A408-196F8EC299D9}"/>
    <cellStyle name="Millares 26" xfId="715" xr:uid="{4D514D7A-E090-47DD-9F03-EA0D035A86A3}"/>
    <cellStyle name="Millares 27" xfId="716" xr:uid="{47B1A7EF-D961-47C1-BB66-FC0BD4BC082B}"/>
    <cellStyle name="Millares 28" xfId="717" xr:uid="{F986B0E7-D9C8-4F5C-8CBD-B52CF54764F4}"/>
    <cellStyle name="Millares 29" xfId="718" xr:uid="{9D1A7F91-B770-419F-9CA1-2A58CD674BFA}"/>
    <cellStyle name="Millares 3" xfId="52" xr:uid="{00000000-0005-0000-0000-000027000000}"/>
    <cellStyle name="Millares 3 2" xfId="919" xr:uid="{8DF9FA46-99FA-4EE6-AC9C-67C6184E6288}"/>
    <cellStyle name="Millares 3 2 2" xfId="1047" xr:uid="{40C899DD-0C03-446B-A040-46122C25ABEA}"/>
    <cellStyle name="Millares 3 2 2 2" xfId="1101" xr:uid="{74BB6F74-28D6-4361-8E8C-351B2B71BB5E}"/>
    <cellStyle name="Millares 3 2 3" xfId="1012" xr:uid="{B3E24504-B078-4F5A-9413-4B5DF3A0B6CF}"/>
    <cellStyle name="Millares 3 2 4" xfId="1074" xr:uid="{1493E86B-56D3-46E4-9547-F12029BE12AC}"/>
    <cellStyle name="Millares 3 3" xfId="719" xr:uid="{12B94D08-32DF-43E1-9FD4-B64017D3BA86}"/>
    <cellStyle name="Millares 30" xfId="720" xr:uid="{75904D20-7547-492B-BA98-B3AA89538534}"/>
    <cellStyle name="Millares 31" xfId="721" xr:uid="{4ED8406A-C4B4-4C08-B541-0530991521F1}"/>
    <cellStyle name="Millares 32" xfId="722" xr:uid="{7DA5DFA1-0AFC-437C-AA21-38FB71A1B22A}"/>
    <cellStyle name="Millares 33" xfId="723" xr:uid="{0B039C06-E719-4529-AE62-9EFC1EF9B401}"/>
    <cellStyle name="Millares 34" xfId="724" xr:uid="{76863D1F-4268-442F-855C-8E1DFE7CA065}"/>
    <cellStyle name="Millares 35" xfId="725" xr:uid="{D8C752C2-A6C2-49A1-A74F-2EFA0ABFC5B7}"/>
    <cellStyle name="Millares 36" xfId="726" xr:uid="{65427F2A-880B-493B-8A25-9495591806FF}"/>
    <cellStyle name="Millares 37" xfId="727" xr:uid="{B23A59A2-2892-40E8-B95F-B9E4BAC3EEBD}"/>
    <cellStyle name="Millares 38" xfId="728" xr:uid="{ACD7307D-8CAB-4A8E-9E6A-670690EF30DB}"/>
    <cellStyle name="Millares 39" xfId="729" xr:uid="{B8A3FE95-C514-48F8-954B-0E70D17FA4FA}"/>
    <cellStyle name="Millares 4" xfId="53" xr:uid="{00000000-0005-0000-0000-000028000000}"/>
    <cellStyle name="Millares 4 2" xfId="730" xr:uid="{51BACBBC-E119-4686-A253-F262BC2386E8}"/>
    <cellStyle name="Millares 4 2 2" xfId="731" xr:uid="{A4B32EF9-48BB-4D5C-96FF-19ADCBBCAF35}"/>
    <cellStyle name="Millares 4 3" xfId="920" xr:uid="{A22AC43E-7D21-46F9-A73B-41C0E1603893}"/>
    <cellStyle name="Millares 4 3 2" xfId="1048" xr:uid="{E2A8764D-E88E-44CC-A1FB-FC5AD3190070}"/>
    <cellStyle name="Millares 4 3 2 2" xfId="1102" xr:uid="{F967EE3E-5E2C-467F-9085-1EF63F549A0E}"/>
    <cellStyle name="Millares 4 3 3" xfId="1013" xr:uid="{DAF315DE-4AFF-472C-BDE1-536DB115B72D}"/>
    <cellStyle name="Millares 4 3 4" xfId="1075" xr:uid="{69DDE7E0-114E-4A1F-BAAC-5EB61D09C27B}"/>
    <cellStyle name="Millares 4 4" xfId="450" xr:uid="{1EB20CD0-89FB-4B38-A3B6-2BF58AB9CCA5}"/>
    <cellStyle name="Millares 40" xfId="732" xr:uid="{60E28E41-992E-4666-A723-C89A68CC75AA}"/>
    <cellStyle name="Millares 41" xfId="733" xr:uid="{A4766B12-BD2C-43F4-888C-E9E4CAC298BA}"/>
    <cellStyle name="Millares 42" xfId="734" xr:uid="{1E065C9D-25C8-4A6F-AFEB-3B8CED4D4D04}"/>
    <cellStyle name="Millares 43" xfId="735" xr:uid="{6A10EDE9-D4AF-4A0D-9E3F-D3740575B5C8}"/>
    <cellStyle name="Millares 44" xfId="736" xr:uid="{FF3D4E18-441B-4B99-A275-EDE76A0CACD7}"/>
    <cellStyle name="Millares 45" xfId="737" xr:uid="{DC15B3AE-6ECC-47C0-927E-522498F76BD7}"/>
    <cellStyle name="Millares 46" xfId="738" xr:uid="{05E42884-9282-4ECD-AA6A-F4F0A424D2DC}"/>
    <cellStyle name="Millares 47" xfId="739" xr:uid="{9B23598B-4470-48DE-B244-4CFD04F7A523}"/>
    <cellStyle name="Millares 48" xfId="740" xr:uid="{B78DE6B2-5D6A-4E05-895D-853DA27D514C}"/>
    <cellStyle name="Millares 49" xfId="741" xr:uid="{7858E50A-08F9-4317-9775-D71BD8BFCB15}"/>
    <cellStyle name="Millares 5" xfId="742" xr:uid="{619287B9-6C1A-4454-A7D9-96DE8AEF0422}"/>
    <cellStyle name="Millares 50" xfId="743" xr:uid="{10348A23-7FFD-46CB-AF86-71FE0ADB270C}"/>
    <cellStyle name="Millares 51" xfId="744" xr:uid="{981185CB-E163-4F61-B9F1-9CF955DEAE59}"/>
    <cellStyle name="Millares 52" xfId="745" xr:uid="{87FB36FB-C219-4153-B8BA-6BB59A82323D}"/>
    <cellStyle name="Millares 53" xfId="746" xr:uid="{3DFFDA42-930F-450F-A08F-C4224DC39B8B}"/>
    <cellStyle name="Millares 54" xfId="747" xr:uid="{5BDE804C-8C40-4187-A3D4-C574216D20E3}"/>
    <cellStyle name="Millares 55" xfId="748" xr:uid="{6E59E79C-6B1A-44F0-A78C-04F4C8A5A997}"/>
    <cellStyle name="Millares 56" xfId="749" xr:uid="{AB433DB9-460B-46DA-B9D3-17FD7866B504}"/>
    <cellStyle name="Millares 57" xfId="750" xr:uid="{508DD001-E7C1-4AD5-A387-32C60DFCD128}"/>
    <cellStyle name="Millares 58" xfId="751" xr:uid="{AC5224D1-F0DC-4A25-9DBC-806C713FCBB5}"/>
    <cellStyle name="Millares 59" xfId="752" xr:uid="{BC2DD419-FA60-46BE-BDA9-4B27EBBE101D}"/>
    <cellStyle name="Millares 6" xfId="753" xr:uid="{7148CC92-AA00-4BD4-AA0B-31C734C15046}"/>
    <cellStyle name="Millares 60" xfId="754" xr:uid="{3540C442-BBD0-48D9-AC02-B9A4768784FC}"/>
    <cellStyle name="Millares 61" xfId="755" xr:uid="{FA6785F9-7071-4D12-8544-DC48E913CC85}"/>
    <cellStyle name="Millares 62" xfId="756" xr:uid="{37486E5F-3C66-476E-8418-6B6F73E4A98D}"/>
    <cellStyle name="Millares 63" xfId="977" xr:uid="{1E9E7CBA-00CA-487B-9EBD-9BB1CB1B981B}"/>
    <cellStyle name="Millares 63 2" xfId="1051" xr:uid="{1D13AF8A-DE2F-4FE5-BEDD-FE11714432D7}"/>
    <cellStyle name="Millares 63 2 2" xfId="1105" xr:uid="{340114F1-009A-4847-AF42-6692E3C9F574}"/>
    <cellStyle name="Millares 63 3" xfId="1019" xr:uid="{EB7194CF-D285-4FD7-B47C-2671D098121C}"/>
    <cellStyle name="Millares 63 4" xfId="1078" xr:uid="{C6D4A85B-78FB-4569-9AD9-2C118980E051}"/>
    <cellStyle name="Millares 64" xfId="978" xr:uid="{E68443E4-C33F-41EB-8ABE-ABDC66BB13A8}"/>
    <cellStyle name="Millares 64 2" xfId="1049" xr:uid="{CB92D8F4-6E11-482B-A1CC-E727524DE246}"/>
    <cellStyle name="Millares 64 2 2" xfId="1103" xr:uid="{07898D2C-0B13-44BE-BF3C-6E63D3D0B8F7}"/>
    <cellStyle name="Millares 64 3" xfId="1016" xr:uid="{7265EF80-70DA-4ADE-AA7A-6C1BB908EAFF}"/>
    <cellStyle name="Millares 64 4" xfId="1076" xr:uid="{634A0BEC-46B5-4011-9C30-31585DD0E8B0}"/>
    <cellStyle name="Millares 65" xfId="997" xr:uid="{C774FF93-4754-4126-8962-2D4CE1B043A6}"/>
    <cellStyle name="Millares 65 2" xfId="1043" xr:uid="{138FC0A8-626C-4825-908F-DA77E5F415AE}"/>
    <cellStyle name="Millares 65 2 2" xfId="1097" xr:uid="{0E842E2E-7486-465E-AD11-360BA73E212E}"/>
    <cellStyle name="Millares 65 3" xfId="1070" xr:uid="{B230AE9A-0E83-4D2A-8685-0FE2854D2B9A}"/>
    <cellStyle name="Millares 66" xfId="1030" xr:uid="{857731B6-1CB8-4E0B-A578-5BD356A995B1}"/>
    <cellStyle name="Millares 66 2" xfId="1057" xr:uid="{17AC19B5-FC26-4CDC-9975-B614077B1F27}"/>
    <cellStyle name="Millares 66 2 2" xfId="1111" xr:uid="{0D28E49C-9B80-4BBD-BA16-F799F83E12A4}"/>
    <cellStyle name="Millares 66 3" xfId="1084" xr:uid="{A2BF6522-DED7-4771-B52F-B29BC1CFF020}"/>
    <cellStyle name="Millares 67" xfId="1023" xr:uid="{D0A58ABE-DAE8-482C-BBBC-8B5B9D65A288}"/>
    <cellStyle name="Millares 67 2" xfId="1053" xr:uid="{86029D87-48EF-4BC0-AABD-E650C4E1599B}"/>
    <cellStyle name="Millares 67 2 2" xfId="1107" xr:uid="{6C46C2A7-6D86-4019-BCF9-4126AB378C7F}"/>
    <cellStyle name="Millares 67 3" xfId="1080" xr:uid="{9B69AA5C-A3E1-4354-AE86-FBE46FE705EC}"/>
    <cellStyle name="Millares 68" xfId="1029" xr:uid="{3B091CE3-936D-43AF-804A-2460874DF7D4}"/>
    <cellStyle name="Millares 68 2" xfId="1056" xr:uid="{C356364B-00D7-4D46-B752-E43C34C77CB1}"/>
    <cellStyle name="Millares 68 2 2" xfId="1110" xr:uid="{44C58D50-1AB0-4E69-BEA8-DFDD33B49804}"/>
    <cellStyle name="Millares 68 3" xfId="1083" xr:uid="{11B38E5E-EE74-4E0C-A4F2-704FEF17183E}"/>
    <cellStyle name="Millares 69" xfId="1011" xr:uid="{0C5C6A4C-9077-478C-AC06-A9EC6FF3BE32}"/>
    <cellStyle name="Millares 69 2" xfId="1046" xr:uid="{5C4A6A2D-4DDE-4A01-8A84-9932D60EFED2}"/>
    <cellStyle name="Millares 69 2 2" xfId="1100" xr:uid="{482D8090-8AA2-4ED8-ABAD-66E8E07F7ED6}"/>
    <cellStyle name="Millares 69 3" xfId="1073" xr:uid="{BBEC7808-27DB-4C1A-8BC6-B82E5637A70E}"/>
    <cellStyle name="Millares 7" xfId="757" xr:uid="{8574344D-8CDD-4119-88E5-788761908B95}"/>
    <cellStyle name="Millares 70" xfId="1032" xr:uid="{6C0B7DD2-CEEE-4651-B83E-BDF5F67A9745}"/>
    <cellStyle name="Millares 70 2" xfId="1086" xr:uid="{7DCC2545-11B9-4F2A-9DF5-ECD0594B010A}"/>
    <cellStyle name="Millares 71" xfId="1031" xr:uid="{F92F9280-16ED-42DC-AE04-B68CCA8B94E5}"/>
    <cellStyle name="Millares 71 2" xfId="1085" xr:uid="{1675B0B1-FB62-48F1-9A20-7AFCEC36C9DC}"/>
    <cellStyle name="Millares 72" xfId="981" xr:uid="{58964405-5980-43FD-AAC3-429C107796B2}"/>
    <cellStyle name="Millares 73" xfId="1059" xr:uid="{8B302C72-29FC-447B-8A19-F9992085B8D8}"/>
    <cellStyle name="Millares 8" xfId="758" xr:uid="{AE3DE59D-3DE3-4A01-BAA1-E3A1306491BF}"/>
    <cellStyle name="Millares 9" xfId="759" xr:uid="{8F20DCA2-76E5-4E58-947E-652F3000D930}"/>
    <cellStyle name="Moneda [0] 2" xfId="971" xr:uid="{D5F0DEC3-5693-4E7A-A1D1-5B44D3936C8D}"/>
    <cellStyle name="Moneda [0] 2 2" xfId="1052" xr:uid="{A5128B0A-B177-4818-B5B1-1380A713F2FB}"/>
    <cellStyle name="Moneda [0] 2 2 2" xfId="1106" xr:uid="{6A78C989-1774-411A-9626-A22A68424466}"/>
    <cellStyle name="Moneda [0] 2 3" xfId="1022" xr:uid="{C3D6B847-9587-473D-9A6E-B426F1AF216B}"/>
    <cellStyle name="Moneda [0] 2 4" xfId="1079" xr:uid="{E42C50AF-E492-4DEA-8002-490629C6D9D6}"/>
    <cellStyle name="Moneda 10" xfId="918" xr:uid="{C0132BD4-0B39-49E2-806A-8A896EE1A2DF}"/>
    <cellStyle name="Moneda 10 2" xfId="1045" xr:uid="{4277F184-CE14-40F0-9422-CB081AAF4B79}"/>
    <cellStyle name="Moneda 10 2 2" xfId="1099" xr:uid="{75F426E4-A783-4C50-B859-A3E1484CB452}"/>
    <cellStyle name="Moneda 10 3" xfId="1010" xr:uid="{8AC92DF8-5619-40FA-BA35-83E202954C77}"/>
    <cellStyle name="Moneda 10 4" xfId="1072" xr:uid="{134E3935-9F1B-458B-BFD7-7312FD2C1405}"/>
    <cellStyle name="Moneda 11" xfId="974" xr:uid="{701BA664-B375-44B1-B405-0CFE23937B81}"/>
    <cellStyle name="Moneda 11 2" xfId="1055" xr:uid="{C4166804-3C2B-483E-865F-A17A850A07C4}"/>
    <cellStyle name="Moneda 11 2 2" xfId="1109" xr:uid="{E3BB0194-1E07-42EE-9F98-4616AE050D7A}"/>
    <cellStyle name="Moneda 11 3" xfId="1025" xr:uid="{FEC2814A-A7E7-4F3B-B58A-E86767FAD569}"/>
    <cellStyle name="Moneda 11 4" xfId="1082" xr:uid="{98DA2C80-7963-48B6-AC28-61A7F534732C}"/>
    <cellStyle name="Moneda 12" xfId="947" xr:uid="{B42E5BF7-D435-448B-86EF-0E1ACA8973D2}"/>
    <cellStyle name="Moneda 12 2" xfId="1050" xr:uid="{D979BEED-0F63-4EAF-86C1-F6C5F85138D7}"/>
    <cellStyle name="Moneda 12 2 2" xfId="1104" xr:uid="{42BF95B5-1494-4D59-BB1A-3649E565553B}"/>
    <cellStyle name="Moneda 12 3" xfId="1018" xr:uid="{B7F25AEB-9B25-4AA2-8EEE-2A2F5E92C08B}"/>
    <cellStyle name="Moneda 12 4" xfId="1077" xr:uid="{99949F1C-60BB-4A49-B7BF-E23E9E970638}"/>
    <cellStyle name="Moneda 13" xfId="973" xr:uid="{D380443A-0DB5-46C8-A415-1F1B9EAB4CD5}"/>
    <cellStyle name="Moneda 14" xfId="940" xr:uid="{67DBE560-A1D6-4BA4-B37D-702532DDC401}"/>
    <cellStyle name="Moneda 15" xfId="976" xr:uid="{025E9AA9-1D0B-47AC-A3A9-04E00DA1C555}"/>
    <cellStyle name="Moneda 16" xfId="975" xr:uid="{5728C923-ECF8-4FDA-B0A2-DACC6C610F7E}"/>
    <cellStyle name="Moneda 17" xfId="980" xr:uid="{81C612E5-17EC-4296-BA62-C112D6640467}"/>
    <cellStyle name="Moneda 18" xfId="1058" xr:uid="{8A97E9A6-DC3B-4021-91B7-7ED041A4787B}"/>
    <cellStyle name="Moneda 2" xfId="451" xr:uid="{4F29DE43-3059-496B-817C-E55A065AADA6}"/>
    <cellStyle name="Moneda 2 10" xfId="452" xr:uid="{24D5FC57-3BBB-41F0-84BE-9466254CDE03}"/>
    <cellStyle name="Moneda 2 10 2" xfId="453" xr:uid="{F6EEA258-83BB-44D8-B685-A2C718D16CFE}"/>
    <cellStyle name="Moneda 2 10 2 2" xfId="454" xr:uid="{63E42645-7F32-4C46-9FB8-022772EDF811}"/>
    <cellStyle name="Moneda 2 10 3" xfId="455" xr:uid="{97B89B00-44AB-4B13-86BB-C8B47F348BE3}"/>
    <cellStyle name="Moneda 2 11" xfId="456" xr:uid="{2B8E588D-0A85-4339-8CF8-1AE731D7453F}"/>
    <cellStyle name="Moneda 2 11 2" xfId="457" xr:uid="{AD2D6735-3F68-4051-A8E4-7EA79C584C32}"/>
    <cellStyle name="Moneda 2 11 2 2" xfId="458" xr:uid="{E7F9823C-5FEC-4B25-9CCF-46F550FC4FBD}"/>
    <cellStyle name="Moneda 2 11 3" xfId="459" xr:uid="{C7A418C4-68FB-445A-B2EB-2B5FE603B692}"/>
    <cellStyle name="Moneda 2 12" xfId="460" xr:uid="{A53EA3A1-659B-4B71-8D20-1214098D1096}"/>
    <cellStyle name="Moneda 2 12 2" xfId="461" xr:uid="{A251831B-FE03-4A8A-AC1A-6CE92C6A6CAB}"/>
    <cellStyle name="Moneda 2 12 2 2" xfId="462" xr:uid="{2B222EFC-36A4-44F1-8A98-3AC08755F458}"/>
    <cellStyle name="Moneda 2 12 3" xfId="463" xr:uid="{FDD53FBA-5974-4975-9C05-1CFB082FCBAB}"/>
    <cellStyle name="Moneda 2 13" xfId="464" xr:uid="{F0B1FB22-FFA3-4CE0-8A39-EBED9F064FCC}"/>
    <cellStyle name="Moneda 2 13 2" xfId="465" xr:uid="{59FBC8B5-53ED-43A0-815D-4001098FE25E}"/>
    <cellStyle name="Moneda 2 13 2 2" xfId="466" xr:uid="{1074B77D-A6C3-42C4-985B-F980D1E2A51B}"/>
    <cellStyle name="Moneda 2 13 3" xfId="467" xr:uid="{CE3DD00F-6FCD-4E6F-8C19-7F9CE8396500}"/>
    <cellStyle name="Moneda 2 14" xfId="468" xr:uid="{A696C61D-2F09-4DE9-A8C3-9DCEEB837024}"/>
    <cellStyle name="Moneda 2 14 2" xfId="469" xr:uid="{6351733F-09E4-4E17-B0C7-AE15F41458C8}"/>
    <cellStyle name="Moneda 2 14 3" xfId="760" xr:uid="{A671EEE0-0B6B-4CCF-B661-4738B823FE9C}"/>
    <cellStyle name="Moneda 2 15" xfId="470" xr:uid="{90D20AEE-2814-42CC-BE41-64F56236B9B0}"/>
    <cellStyle name="Moneda 2 16" xfId="761" xr:uid="{F5D0DA18-A4A4-4FE5-BFE2-0D713673C847}"/>
    <cellStyle name="Moneda 2 2" xfId="471" xr:uid="{BAC42D69-F815-42BE-A4A9-CC5127FD3A2F}"/>
    <cellStyle name="Moneda 2 2 2" xfId="472" xr:uid="{DBBEA477-81E1-4606-9CA1-565589328A8E}"/>
    <cellStyle name="Moneda 2 2 2 2" xfId="473" xr:uid="{826BD75F-0009-42FC-B4BD-04E5FA495CBE}"/>
    <cellStyle name="Moneda 2 2 2 2 2" xfId="1039" xr:uid="{4922D6A0-DF97-4A21-BA1F-FC5E7BEA5F43}"/>
    <cellStyle name="Moneda 2 2 2 2 2 2" xfId="1093" xr:uid="{FEF62A1A-2E1F-46FC-9F3E-A8F364479314}"/>
    <cellStyle name="Moneda 2 2 2 2 3" xfId="989" xr:uid="{EA9D3F4C-BBFF-46F6-A120-499B74A87F94}"/>
    <cellStyle name="Moneda 2 2 2 2 4" xfId="1066" xr:uid="{E3F9FFF2-2A46-4D9E-B3A9-0935806B6D4F}"/>
    <cellStyle name="Moneda 2 2 2 3" xfId="1038" xr:uid="{CC42E713-0C93-4E4B-8F04-858F4A685918}"/>
    <cellStyle name="Moneda 2 2 2 3 2" xfId="1092" xr:uid="{11BB8FDF-C451-4E91-A962-1BA56452B77F}"/>
    <cellStyle name="Moneda 2 2 2 4" xfId="988" xr:uid="{3CC8204B-F6AA-4C5A-A0E2-516C71F4B69D}"/>
    <cellStyle name="Moneda 2 2 2 5" xfId="1065" xr:uid="{763C7EB1-384C-49BD-B5F0-46F89181B97A}"/>
    <cellStyle name="Moneda 2 2 3" xfId="474" xr:uid="{34D0C912-B7D0-4840-A127-8DB962F7C321}"/>
    <cellStyle name="Moneda 2 2 3 2" xfId="762" xr:uid="{CEC80D57-EA56-4BA9-BDF9-96D7FF5BC997}"/>
    <cellStyle name="Moneda 2 2 3 2 2" xfId="1044" xr:uid="{160CE39F-8BE9-4759-816C-12A101AAA976}"/>
    <cellStyle name="Moneda 2 2 3 2 2 2" xfId="1098" xr:uid="{BD95EB50-CFFD-4516-A6C3-B5405D6D7C80}"/>
    <cellStyle name="Moneda 2 2 3 2 3" xfId="998" xr:uid="{32785F2F-D330-400C-AD20-E94513FE9A0F}"/>
    <cellStyle name="Moneda 2 2 3 2 4" xfId="1071" xr:uid="{2798A59E-155D-45B2-9DD2-4F3D399FEB6D}"/>
    <cellStyle name="Moneda 2 2 3 3" xfId="1040" xr:uid="{27BAAEE7-94E5-4FA0-927F-0D001A9051EC}"/>
    <cellStyle name="Moneda 2 2 3 3 2" xfId="1094" xr:uid="{5E0C3B26-3977-45EF-A52E-51AD4AB42731}"/>
    <cellStyle name="Moneda 2 2 3 4" xfId="990" xr:uid="{DCD70D14-217C-45AF-BFA7-F474428716FE}"/>
    <cellStyle name="Moneda 2 2 3 5" xfId="1067" xr:uid="{B325B765-EB33-4FCC-9EFC-7553D47DECA4}"/>
    <cellStyle name="Moneda 2 2 4" xfId="1037" xr:uid="{CE68E087-2A20-4B04-B8CC-A14EFB45E5D8}"/>
    <cellStyle name="Moneda 2 2 4 2" xfId="1091" xr:uid="{07E77E41-7707-466F-90ED-A9F312B066FD}"/>
    <cellStyle name="Moneda 2 2 5" xfId="987" xr:uid="{5ABFE8A6-1D02-4B71-B37C-A832D0D790AA}"/>
    <cellStyle name="Moneda 2 2 6" xfId="1064" xr:uid="{661D9572-4E39-4CC4-98FF-C642CE570E7D}"/>
    <cellStyle name="Moneda 2 3" xfId="475" xr:uid="{2750B85A-5E1F-40F9-9BAD-0B7D3035FE79}"/>
    <cellStyle name="Moneda 2 3 2" xfId="476" xr:uid="{664EECF7-7042-4609-A1DC-ACF39B3877FF}"/>
    <cellStyle name="Moneda 2 3 2 2" xfId="477" xr:uid="{4E6B4E66-2F8B-40CF-9BCD-98340F055679}"/>
    <cellStyle name="Moneda 2 3 3" xfId="478" xr:uid="{8A381F1C-538E-45D9-B34A-F6E7B3EF3AB5}"/>
    <cellStyle name="Moneda 2 4" xfId="479" xr:uid="{AAD2F9BE-9E4C-48C2-B0CA-A3BAD1DEC89C}"/>
    <cellStyle name="Moneda 2 4 2" xfId="480" xr:uid="{B444AC89-345F-479B-A347-A2F3C84907EB}"/>
    <cellStyle name="Moneda 2 4 2 2" xfId="481" xr:uid="{E7F01B10-6998-471D-A494-D9E69156EC33}"/>
    <cellStyle name="Moneda 2 4 3" xfId="482" xr:uid="{27CBA7BA-A792-4F65-BF2B-E6208095DB46}"/>
    <cellStyle name="Moneda 2 5" xfId="483" xr:uid="{26387635-1280-48F6-B03B-394556B99C67}"/>
    <cellStyle name="Moneda 2 5 2" xfId="484" xr:uid="{0B150291-D45D-4848-AEA7-B54965AE3F5F}"/>
    <cellStyle name="Moneda 2 5 2 2" xfId="485" xr:uid="{16E43F47-E333-4975-9825-6065FFBA9ABD}"/>
    <cellStyle name="Moneda 2 5 3" xfId="486" xr:uid="{647430C2-CA00-4702-8CE7-73297578A1C7}"/>
    <cellStyle name="Moneda 2 6" xfId="487" xr:uid="{DF7E0C8F-A700-465D-B9F5-3338FE28F201}"/>
    <cellStyle name="Moneda 2 6 2" xfId="488" xr:uid="{C275ECF9-7C66-4EDF-B0E1-1598D0A055C0}"/>
    <cellStyle name="Moneda 2 6 2 2" xfId="489" xr:uid="{9C820EFB-85B2-4E26-AEA4-B00D8DD0C07C}"/>
    <cellStyle name="Moneda 2 6 3" xfId="490" xr:uid="{DC54A585-CF22-4D3C-99E5-97ECB4A356B6}"/>
    <cellStyle name="Moneda 2 7" xfId="491" xr:uid="{9EA1E914-05FE-4466-BA2B-4CDE0C3EA068}"/>
    <cellStyle name="Moneda 2 7 2" xfId="492" xr:uid="{CEC73E62-9212-4350-936B-4534C5B1C56A}"/>
    <cellStyle name="Moneda 2 7 2 2" xfId="493" xr:uid="{133AFAFB-6607-47BA-B526-0F3C939709AF}"/>
    <cellStyle name="Moneda 2 7 3" xfId="494" xr:uid="{8282CC0A-D875-48E9-AE07-04D0C9D2B225}"/>
    <cellStyle name="Moneda 2 8" xfId="495" xr:uid="{259FC7B7-3416-491C-8FDC-D9F0A78BFBF2}"/>
    <cellStyle name="Moneda 2 8 2" xfId="496" xr:uid="{274F37C1-3362-4A4C-A59C-6066F61F9BDB}"/>
    <cellStyle name="Moneda 2 8 2 2" xfId="497" xr:uid="{D4D0962F-DEB9-4B12-B48A-8C54E8642311}"/>
    <cellStyle name="Moneda 2 8 3" xfId="498" xr:uid="{098B1806-5617-4DD2-BBCC-5189AAFF48E0}"/>
    <cellStyle name="Moneda 2 9" xfId="499" xr:uid="{6EB2D75E-0010-4B77-B4E1-719F7B859AC5}"/>
    <cellStyle name="Moneda 2 9 2" xfId="500" xr:uid="{7AAA349F-474B-4255-9BFE-2CF8ADDA9DA1}"/>
    <cellStyle name="Moneda 2 9 2 2" xfId="501" xr:uid="{9A3AEF13-0867-4C79-A160-F36860260167}"/>
    <cellStyle name="Moneda 2 9 3" xfId="502" xr:uid="{F7532922-0841-49C8-9F86-D0C840C654C5}"/>
    <cellStyle name="Moneda 3" xfId="503" xr:uid="{F53C4E5D-4050-42AC-8FEE-3C3AF4A9B2BF}"/>
    <cellStyle name="Moneda 3 2" xfId="504" xr:uid="{2F6CE353-2429-4463-9409-CD683164DC4D}"/>
    <cellStyle name="Moneda 3 2 2" xfId="1042" xr:uid="{31572083-2A13-46F9-8D1B-5C5F5FCE94B5}"/>
    <cellStyle name="Moneda 3 2 2 2" xfId="1096" xr:uid="{E5AEFC7D-E4D9-40E5-9602-54D2BB43A623}"/>
    <cellStyle name="Moneda 3 2 3" xfId="992" xr:uid="{E90AA3CF-989A-49DE-B4D5-F7B0A68E994F}"/>
    <cellStyle name="Moneda 3 2 4" xfId="1069" xr:uid="{379E5246-7DE6-4569-8286-57D5E4510696}"/>
    <cellStyle name="Moneda 3 3" xfId="1041" xr:uid="{0FBCCFFD-5ABD-4CDB-A2E0-939E471E54EF}"/>
    <cellStyle name="Moneda 3 3 2" xfId="1095" xr:uid="{73EB0082-454D-4912-9135-52159725588E}"/>
    <cellStyle name="Moneda 3 4" xfId="991" xr:uid="{16D867AC-C92C-4C7D-B957-4E93C7C813BB}"/>
    <cellStyle name="Moneda 3 5" xfId="1068" xr:uid="{3926DE0F-4389-45DF-957C-A8AAF9842F5D}"/>
    <cellStyle name="Moneda 4" xfId="505" xr:uid="{2EF78447-E01F-4A38-B79A-7F4EAFA18C0E}"/>
    <cellStyle name="Moneda 4 2" xfId="506" xr:uid="{038CE543-CEE9-422C-934F-5EFD2708F88D}"/>
    <cellStyle name="Moneda 5" xfId="507" xr:uid="{32074CF3-EC29-43B2-90B2-F9401FBF4422}"/>
    <cellStyle name="Moneda 5 2" xfId="508" xr:uid="{34EB3AB3-C1C1-4771-AF81-F92C557547F7}"/>
    <cellStyle name="Moneda 5 2 2" xfId="509" xr:uid="{0BE039E4-BFAA-4563-B242-C5612582130B}"/>
    <cellStyle name="Moneda 5 3" xfId="510" xr:uid="{1AB2F378-C4BC-46BD-8723-5AAC9D047BE8}"/>
    <cellStyle name="Moneda 6" xfId="511" xr:uid="{9E1A9BFE-468E-47E5-80D5-76B168FF9011}"/>
    <cellStyle name="Moneda 6 2" xfId="512" xr:uid="{BCCB4C1E-241E-4C36-9EB2-A1A039F5D533}"/>
    <cellStyle name="Moneda 6 2 2" xfId="513" xr:uid="{2C02DBFE-AEEE-4B85-828C-DD91B50ACF4D}"/>
    <cellStyle name="Moneda 6 3" xfId="514" xr:uid="{FF21994A-E0BF-4D34-A572-A4F7FF74B7E7}"/>
    <cellStyle name="Moneda 7" xfId="515" xr:uid="{CDA20A8A-4F1A-4F43-8199-CF11BB6C8484}"/>
    <cellStyle name="Moneda 7 2" xfId="516" xr:uid="{EB14FB65-4B7D-4B8E-8F03-B27E71952EB0}"/>
    <cellStyle name="Moneda 7 2 2" xfId="517" xr:uid="{525576E3-552D-4E30-A6DA-ED2AFB754AB6}"/>
    <cellStyle name="Moneda 7 3" xfId="518" xr:uid="{E775EFBF-436A-4BF5-A25B-9FC80DDCE2A0}"/>
    <cellStyle name="Moneda 8" xfId="519" xr:uid="{C4AEA18C-0F2E-45F3-A23B-CA30C0146F23}"/>
    <cellStyle name="Moneda 8 2" xfId="520" xr:uid="{658DB75B-E99F-470C-8986-2E171A4BC922}"/>
    <cellStyle name="Moneda 8 2 2" xfId="521" xr:uid="{0C3A2794-9CB1-4FFC-9C37-5C393294FD2E}"/>
    <cellStyle name="Moneda 8 3" xfId="522" xr:uid="{B68AAAA2-EC60-4EB4-8074-329394DF124A}"/>
    <cellStyle name="Moneda 9" xfId="523" xr:uid="{340138D4-2A43-48B8-A010-3948723C82C3}"/>
    <cellStyle name="Moneda 9 2" xfId="622" xr:uid="{28300B53-5EAA-4C2E-92BF-5D89B9E81BD2}"/>
    <cellStyle name="Neutral" xfId="12" builtinId="28" customBuiltin="1"/>
    <cellStyle name="Normal" xfId="0" builtinId="0"/>
    <cellStyle name="Normal 10" xfId="54" xr:uid="{00000000-0005-0000-0000-00002B000000}"/>
    <cellStyle name="Normal 10 2" xfId="524" xr:uid="{6A9C7074-285A-4814-A95B-034C0F6F53D0}"/>
    <cellStyle name="Normal 10 3" xfId="525" xr:uid="{DFA0A7AB-82B9-4B81-AE82-7AE154304D46}"/>
    <cellStyle name="Normal 10 3 2" xfId="623" xr:uid="{389F6847-4927-4CF6-9BDB-90698A35E586}"/>
    <cellStyle name="Normal 10 4" xfId="763" xr:uid="{B4F5759D-C0D4-455E-81C8-A5B16680B3EE}"/>
    <cellStyle name="Normal 10 4 2" xfId="764" xr:uid="{6EC90FED-EEE5-41B0-BE96-A6CDE8654965}"/>
    <cellStyle name="Normal 10 4 3" xfId="765" xr:uid="{6DC5DD2C-B29A-4DAE-87F8-E5C26E23D3AF}"/>
    <cellStyle name="Normal 10 5" xfId="766" xr:uid="{07381E66-44A9-45FD-9D4E-B0B84E89439C}"/>
    <cellStyle name="Normal 10 6" xfId="767" xr:uid="{D8046A6D-B6C3-4101-9838-85ACA644ABB9}"/>
    <cellStyle name="Normal 11" xfId="55" xr:uid="{00000000-0005-0000-0000-00002C000000}"/>
    <cellStyle name="Normal 11 2" xfId="768" xr:uid="{ABF5F906-2F3E-49D5-A7F9-FB86FC9DD5DE}"/>
    <cellStyle name="Normal 11 2 2" xfId="769" xr:uid="{CFF29E91-D979-4D0A-BD0D-0BE157D95B46}"/>
    <cellStyle name="Normal 11 2 3" xfId="770" xr:uid="{F3658EEB-BC74-42FE-82ED-40835A00C693}"/>
    <cellStyle name="Normal 11 2 4" xfId="953" xr:uid="{F1EEFABB-AE4D-4ACB-A78D-553D09E26BD9}"/>
    <cellStyle name="Normal 11 2 5" xfId="999" xr:uid="{B2C6B2C9-B056-4702-AE27-DD8C1940BA80}"/>
    <cellStyle name="Normal 11 3" xfId="771" xr:uid="{449EBF61-152E-4458-BFC1-BD3FEC9B1FC9}"/>
    <cellStyle name="Normal 11 4" xfId="772" xr:uid="{376CB3B1-CF12-4E83-BA61-C56F75C97D43}"/>
    <cellStyle name="Normal 11 5" xfId="921" xr:uid="{6C4EA46B-0ED1-42B3-8A75-A7B71D945C3B}"/>
    <cellStyle name="Normal 11 6" xfId="526" xr:uid="{425B65ED-5117-4EC8-83AD-F9670480CA60}"/>
    <cellStyle name="Normal 12" xfId="56" xr:uid="{00000000-0005-0000-0000-00002D000000}"/>
    <cellStyle name="Normal 12 2" xfId="966" xr:uid="{E1FD4B58-2BD4-4913-BFB6-47F9CD7FC5C7}"/>
    <cellStyle name="Normal 12 3" xfId="922" xr:uid="{9273F856-0DD2-4148-B5B1-E5CB9546A4AE}"/>
    <cellStyle name="Normal 12 4" xfId="527" xr:uid="{8777209C-27B8-4C34-8C7F-E8DB13B61C8C}"/>
    <cellStyle name="Normal 13" xfId="57" xr:uid="{00000000-0005-0000-0000-00002E000000}"/>
    <cellStyle name="Normal 13 2" xfId="773" xr:uid="{39CA1453-0DD5-4060-AC88-9384BFDC721A}"/>
    <cellStyle name="Normal 13 2 2" xfId="961" xr:uid="{82770CBE-A7CA-4F94-AFED-B409F96099A6}"/>
    <cellStyle name="Normal 13 2 3" xfId="1000" xr:uid="{66CAAFB0-FF8D-4164-98F7-8B0BC38FA967}"/>
    <cellStyle name="Normal 13 3" xfId="923" xr:uid="{B5882C50-C842-41DC-A144-E79A9B3934B2}"/>
    <cellStyle name="Normal 13 4" xfId="528" xr:uid="{579AD978-617C-4B65-B363-AF98F5AD3DA3}"/>
    <cellStyle name="Normal 14" xfId="58" xr:uid="{00000000-0005-0000-0000-00002F000000}"/>
    <cellStyle name="Normal 14 2" xfId="774" xr:uid="{C146E778-E33D-4CF2-962E-E8F3704BB0A9}"/>
    <cellStyle name="Normal 14 2 2" xfId="964" xr:uid="{94C95F0D-8F5E-4F1A-8E13-B2180E133EF5}"/>
    <cellStyle name="Normal 14 2 3" xfId="1001" xr:uid="{B4B847E6-C5B4-4F14-8E7F-373FDDB98150}"/>
    <cellStyle name="Normal 14 3" xfId="775" xr:uid="{8F1509E0-DD57-4B33-B7C4-0B97F1BCCA86}"/>
    <cellStyle name="Normal 14 4" xfId="529" xr:uid="{AC8850B2-1FD2-448E-B172-55B984CE04D0}"/>
    <cellStyle name="Normal 15" xfId="59" xr:uid="{00000000-0005-0000-0000-000030000000}"/>
    <cellStyle name="Normal 15 2" xfId="776" xr:uid="{E25D8CF3-477B-4031-AFF5-0148A1AF8C5C}"/>
    <cellStyle name="Normal 15 3" xfId="924" xr:uid="{ADB047D3-6264-4DD9-8502-8028A2E2751B}"/>
    <cellStyle name="Normal 15 4" xfId="530" xr:uid="{A0BDF8E3-891E-49B2-BF50-C69DE6DB3F02}"/>
    <cellStyle name="Normal 16" xfId="60" xr:uid="{00000000-0005-0000-0000-000031000000}"/>
    <cellStyle name="Normal 16 2" xfId="777" xr:uid="{BBD727A7-10FC-415C-9C8E-237548D467FA}"/>
    <cellStyle name="Normal 16 2 2" xfId="962" xr:uid="{EBE30AB3-8BE7-40A4-8E10-CCAFCDC5F91B}"/>
    <cellStyle name="Normal 16 2 3" xfId="1002" xr:uid="{A636E43A-8F46-475E-A7FC-4D46ECDCFAB1}"/>
    <cellStyle name="Normal 16 3" xfId="925" xr:uid="{20B8E5CF-562F-4F9E-888E-16852A32DA35}"/>
    <cellStyle name="Normal 16 4" xfId="531" xr:uid="{CC6E77EE-23F3-49DA-913C-2E0C1F46C548}"/>
    <cellStyle name="Normal 17" xfId="61" xr:uid="{00000000-0005-0000-0000-000032000000}"/>
    <cellStyle name="Normal 17 2" xfId="778" xr:uid="{984C8881-5EC8-4CD2-81E0-298BD6E39444}"/>
    <cellStyle name="Normal 17 2 2" xfId="955" xr:uid="{4A185136-F17B-4970-B5BC-AB3FBD8D96DF}"/>
    <cellStyle name="Normal 17 2 3" xfId="1003" xr:uid="{BA4EF669-0179-4FFF-A326-958B5CACF282}"/>
    <cellStyle name="Normal 17 3" xfId="926" xr:uid="{A2C4C0CD-C0C6-4996-B75E-C5CB1FFFC202}"/>
    <cellStyle name="Normal 17 4" xfId="532" xr:uid="{F71AD3C6-5660-4928-BC40-EBFFFB377EBA}"/>
    <cellStyle name="Normal 18" xfId="62" xr:uid="{00000000-0005-0000-0000-000033000000}"/>
    <cellStyle name="Normal 18 2" xfId="779" xr:uid="{5EDE0E98-D906-4984-BB5C-113DDC3A8D31}"/>
    <cellStyle name="Normal 18 2 2" xfId="957" xr:uid="{58AB269E-6BE4-4E59-BB60-CEFBF884CEF4}"/>
    <cellStyle name="Normal 18 2 3" xfId="1004" xr:uid="{84A7B32B-1DD3-4531-B7B9-7ADA4A325F73}"/>
    <cellStyle name="Normal 18 3" xfId="927" xr:uid="{73970A51-796D-4ABB-8802-AE709A9C9D9A}"/>
    <cellStyle name="Normal 18 4" xfId="533" xr:uid="{1B7544FC-6F6D-463B-806D-281D982CF1FF}"/>
    <cellStyle name="Normal 19" xfId="63" xr:uid="{00000000-0005-0000-0000-000034000000}"/>
    <cellStyle name="Normal 19 2" xfId="949" xr:uid="{72EC273B-AB0C-43A7-95BE-9A0E832B19DD}"/>
    <cellStyle name="Normal 19 3" xfId="928" xr:uid="{B8842FB6-E3EE-4ED4-8A30-39DD8FC57825}"/>
    <cellStyle name="Normal 19 4" xfId="595" xr:uid="{34B4768E-DE5D-4CDA-8851-F79C19397663}"/>
    <cellStyle name="Normal 2" xfId="64" xr:uid="{00000000-0005-0000-0000-000035000000}"/>
    <cellStyle name="Normal 2 10" xfId="65" xr:uid="{00000000-0005-0000-0000-000036000000}"/>
    <cellStyle name="Normal 2 10 2" xfId="780" xr:uid="{421A63FD-9213-49F8-962F-A20EF8365330}"/>
    <cellStyle name="Normal 2 11" xfId="66" xr:uid="{00000000-0005-0000-0000-000037000000}"/>
    <cellStyle name="Normal 2 12" xfId="67" xr:uid="{00000000-0005-0000-0000-000038000000}"/>
    <cellStyle name="Normal 2 13" xfId="68" xr:uid="{00000000-0005-0000-0000-000039000000}"/>
    <cellStyle name="Normal 2 14" xfId="69" xr:uid="{00000000-0005-0000-0000-00003A000000}"/>
    <cellStyle name="Normal 2 15" xfId="70" xr:uid="{00000000-0005-0000-0000-00003B000000}"/>
    <cellStyle name="Normal 2 16" xfId="71" xr:uid="{00000000-0005-0000-0000-00003C000000}"/>
    <cellStyle name="Normal 2 17" xfId="72" xr:uid="{00000000-0005-0000-0000-00003D000000}"/>
    <cellStyle name="Normal 2 18" xfId="73" xr:uid="{00000000-0005-0000-0000-00003E000000}"/>
    <cellStyle name="Normal 2 19" xfId="74" xr:uid="{00000000-0005-0000-0000-00003F000000}"/>
    <cellStyle name="Normal 2 2" xfId="75" xr:uid="{00000000-0005-0000-0000-000040000000}"/>
    <cellStyle name="Normal 2 2 10" xfId="76" xr:uid="{00000000-0005-0000-0000-000041000000}"/>
    <cellStyle name="Normal 2 2 11" xfId="77" xr:uid="{00000000-0005-0000-0000-000042000000}"/>
    <cellStyle name="Normal 2 2 12" xfId="78" xr:uid="{00000000-0005-0000-0000-000043000000}"/>
    <cellStyle name="Normal 2 2 13" xfId="79" xr:uid="{00000000-0005-0000-0000-000044000000}"/>
    <cellStyle name="Normal 2 2 14" xfId="80" xr:uid="{00000000-0005-0000-0000-000045000000}"/>
    <cellStyle name="Normal 2 2 15" xfId="81" xr:uid="{00000000-0005-0000-0000-000046000000}"/>
    <cellStyle name="Normal 2 2 16" xfId="82" xr:uid="{00000000-0005-0000-0000-000047000000}"/>
    <cellStyle name="Normal 2 2 17" xfId="83" xr:uid="{00000000-0005-0000-0000-000048000000}"/>
    <cellStyle name="Normal 2 2 18" xfId="84" xr:uid="{00000000-0005-0000-0000-000049000000}"/>
    <cellStyle name="Normal 2 2 19" xfId="85" xr:uid="{00000000-0005-0000-0000-00004A000000}"/>
    <cellStyle name="Normal 2 2 2" xfId="86" xr:uid="{00000000-0005-0000-0000-00004B000000}"/>
    <cellStyle name="Normal 2 2 2 10" xfId="87" xr:uid="{00000000-0005-0000-0000-00004C000000}"/>
    <cellStyle name="Normal 2 2 2 11" xfId="88" xr:uid="{00000000-0005-0000-0000-00004D000000}"/>
    <cellStyle name="Normal 2 2 2 12" xfId="89" xr:uid="{00000000-0005-0000-0000-00004E000000}"/>
    <cellStyle name="Normal 2 2 2 13" xfId="90" xr:uid="{00000000-0005-0000-0000-00004F000000}"/>
    <cellStyle name="Normal 2 2 2 14" xfId="91" xr:uid="{00000000-0005-0000-0000-000050000000}"/>
    <cellStyle name="Normal 2 2 2 15" xfId="92" xr:uid="{00000000-0005-0000-0000-000051000000}"/>
    <cellStyle name="Normal 2 2 2 16" xfId="93" xr:uid="{00000000-0005-0000-0000-000052000000}"/>
    <cellStyle name="Normal 2 2 2 17" xfId="94" xr:uid="{00000000-0005-0000-0000-000053000000}"/>
    <cellStyle name="Normal 2 2 2 18" xfId="95" xr:uid="{00000000-0005-0000-0000-000054000000}"/>
    <cellStyle name="Normal 2 2 2 19" xfId="96" xr:uid="{00000000-0005-0000-0000-000055000000}"/>
    <cellStyle name="Normal 2 2 2 2" xfId="97" xr:uid="{00000000-0005-0000-0000-000056000000}"/>
    <cellStyle name="Normal 2 2 2 2 10" xfId="98" xr:uid="{00000000-0005-0000-0000-000057000000}"/>
    <cellStyle name="Normal 2 2 2 2 11" xfId="99" xr:uid="{00000000-0005-0000-0000-000058000000}"/>
    <cellStyle name="Normal 2 2 2 2 12" xfId="100" xr:uid="{00000000-0005-0000-0000-000059000000}"/>
    <cellStyle name="Normal 2 2 2 2 13" xfId="101" xr:uid="{00000000-0005-0000-0000-00005A000000}"/>
    <cellStyle name="Normal 2 2 2 2 14" xfId="102" xr:uid="{00000000-0005-0000-0000-00005B000000}"/>
    <cellStyle name="Normal 2 2 2 2 15" xfId="103" xr:uid="{00000000-0005-0000-0000-00005C000000}"/>
    <cellStyle name="Normal 2 2 2 2 16" xfId="104" xr:uid="{00000000-0005-0000-0000-00005D000000}"/>
    <cellStyle name="Normal 2 2 2 2 17" xfId="105" xr:uid="{00000000-0005-0000-0000-00005E000000}"/>
    <cellStyle name="Normal 2 2 2 2 18" xfId="106" xr:uid="{00000000-0005-0000-0000-00005F000000}"/>
    <cellStyle name="Normal 2 2 2 2 19" xfId="107" xr:uid="{00000000-0005-0000-0000-000060000000}"/>
    <cellStyle name="Normal 2 2 2 2 2" xfId="108" xr:uid="{00000000-0005-0000-0000-000061000000}"/>
    <cellStyle name="Normal 2 2 2 2 2 10" xfId="109" xr:uid="{00000000-0005-0000-0000-000062000000}"/>
    <cellStyle name="Normal 2 2 2 2 2 11" xfId="110" xr:uid="{00000000-0005-0000-0000-000063000000}"/>
    <cellStyle name="Normal 2 2 2 2 2 12" xfId="111" xr:uid="{00000000-0005-0000-0000-000064000000}"/>
    <cellStyle name="Normal 2 2 2 2 2 13" xfId="112" xr:uid="{00000000-0005-0000-0000-000065000000}"/>
    <cellStyle name="Normal 2 2 2 2 2 14" xfId="113" xr:uid="{00000000-0005-0000-0000-000066000000}"/>
    <cellStyle name="Normal 2 2 2 2 2 15" xfId="114" xr:uid="{00000000-0005-0000-0000-000067000000}"/>
    <cellStyle name="Normal 2 2 2 2 2 16" xfId="115" xr:uid="{00000000-0005-0000-0000-000068000000}"/>
    <cellStyle name="Normal 2 2 2 2 2 17" xfId="116" xr:uid="{00000000-0005-0000-0000-000069000000}"/>
    <cellStyle name="Normal 2 2 2 2 2 18" xfId="117" xr:uid="{00000000-0005-0000-0000-00006A000000}"/>
    <cellStyle name="Normal 2 2 2 2 2 19" xfId="118" xr:uid="{00000000-0005-0000-0000-00006B000000}"/>
    <cellStyle name="Normal 2 2 2 2 2 2" xfId="119" xr:uid="{00000000-0005-0000-0000-00006C000000}"/>
    <cellStyle name="Normal 2 2 2 2 2 2 10" xfId="120" xr:uid="{00000000-0005-0000-0000-00006D000000}"/>
    <cellStyle name="Normal 2 2 2 2 2 2 11" xfId="121" xr:uid="{00000000-0005-0000-0000-00006E000000}"/>
    <cellStyle name="Normal 2 2 2 2 2 2 12" xfId="122" xr:uid="{00000000-0005-0000-0000-00006F000000}"/>
    <cellStyle name="Normal 2 2 2 2 2 2 13" xfId="123" xr:uid="{00000000-0005-0000-0000-000070000000}"/>
    <cellStyle name="Normal 2 2 2 2 2 2 14" xfId="124" xr:uid="{00000000-0005-0000-0000-000071000000}"/>
    <cellStyle name="Normal 2 2 2 2 2 2 15" xfId="125" xr:uid="{00000000-0005-0000-0000-000072000000}"/>
    <cellStyle name="Normal 2 2 2 2 2 2 16" xfId="126" xr:uid="{00000000-0005-0000-0000-000073000000}"/>
    <cellStyle name="Normal 2 2 2 2 2 2 17" xfId="127" xr:uid="{00000000-0005-0000-0000-000074000000}"/>
    <cellStyle name="Normal 2 2 2 2 2 2 18" xfId="128" xr:uid="{00000000-0005-0000-0000-000075000000}"/>
    <cellStyle name="Normal 2 2 2 2 2 2 19" xfId="129" xr:uid="{00000000-0005-0000-0000-000076000000}"/>
    <cellStyle name="Normal 2 2 2 2 2 2 2" xfId="130" xr:uid="{00000000-0005-0000-0000-000077000000}"/>
    <cellStyle name="Normal 2 2 2 2 2 2 20" xfId="131" xr:uid="{00000000-0005-0000-0000-000078000000}"/>
    <cellStyle name="Normal 2 2 2 2 2 2 21" xfId="132" xr:uid="{00000000-0005-0000-0000-000079000000}"/>
    <cellStyle name="Normal 2 2 2 2 2 2 22" xfId="133" xr:uid="{00000000-0005-0000-0000-00007A000000}"/>
    <cellStyle name="Normal 2 2 2 2 2 2 23" xfId="134" xr:uid="{00000000-0005-0000-0000-00007B000000}"/>
    <cellStyle name="Normal 2 2 2 2 2 2 24" xfId="135" xr:uid="{00000000-0005-0000-0000-00007C000000}"/>
    <cellStyle name="Normal 2 2 2 2 2 2 25" xfId="136" xr:uid="{00000000-0005-0000-0000-00007D000000}"/>
    <cellStyle name="Normal 2 2 2 2 2 2 26" xfId="996" xr:uid="{7EBB6CDC-BF88-465B-A18D-0922213FEB09}"/>
    <cellStyle name="Normal 2 2 2 2 2 2 3" xfId="137" xr:uid="{00000000-0005-0000-0000-00007E000000}"/>
    <cellStyle name="Normal 2 2 2 2 2 2 4" xfId="138" xr:uid="{00000000-0005-0000-0000-00007F000000}"/>
    <cellStyle name="Normal 2 2 2 2 2 2 5" xfId="139" xr:uid="{00000000-0005-0000-0000-000080000000}"/>
    <cellStyle name="Normal 2 2 2 2 2 2 6" xfId="140" xr:uid="{00000000-0005-0000-0000-000081000000}"/>
    <cellStyle name="Normal 2 2 2 2 2 2 7" xfId="141" xr:uid="{00000000-0005-0000-0000-000082000000}"/>
    <cellStyle name="Normal 2 2 2 2 2 2 8" xfId="142" xr:uid="{00000000-0005-0000-0000-000083000000}"/>
    <cellStyle name="Normal 2 2 2 2 2 2 9" xfId="143" xr:uid="{00000000-0005-0000-0000-000084000000}"/>
    <cellStyle name="Normal 2 2 2 2 2 20" xfId="144" xr:uid="{00000000-0005-0000-0000-000085000000}"/>
    <cellStyle name="Normal 2 2 2 2 2 21" xfId="145" xr:uid="{00000000-0005-0000-0000-000086000000}"/>
    <cellStyle name="Normal 2 2 2 2 2 22" xfId="146" xr:uid="{00000000-0005-0000-0000-000087000000}"/>
    <cellStyle name="Normal 2 2 2 2 2 23" xfId="147" xr:uid="{00000000-0005-0000-0000-000088000000}"/>
    <cellStyle name="Normal 2 2 2 2 2 24" xfId="148" xr:uid="{00000000-0005-0000-0000-000089000000}"/>
    <cellStyle name="Normal 2 2 2 2 2 25" xfId="149" xr:uid="{00000000-0005-0000-0000-00008A000000}"/>
    <cellStyle name="Normal 2 2 2 2 2 3" xfId="150" xr:uid="{00000000-0005-0000-0000-00008B000000}"/>
    <cellStyle name="Normal 2 2 2 2 2 4" xfId="151" xr:uid="{00000000-0005-0000-0000-00008C000000}"/>
    <cellStyle name="Normal 2 2 2 2 2 5" xfId="152" xr:uid="{00000000-0005-0000-0000-00008D000000}"/>
    <cellStyle name="Normal 2 2 2 2 2 6" xfId="153" xr:uid="{00000000-0005-0000-0000-00008E000000}"/>
    <cellStyle name="Normal 2 2 2 2 2 7" xfId="154" xr:uid="{00000000-0005-0000-0000-00008F000000}"/>
    <cellStyle name="Normal 2 2 2 2 2 8" xfId="155" xr:uid="{00000000-0005-0000-0000-000090000000}"/>
    <cellStyle name="Normal 2 2 2 2 2 9" xfId="156" xr:uid="{00000000-0005-0000-0000-000091000000}"/>
    <cellStyle name="Normal 2 2 2 2 20" xfId="157" xr:uid="{00000000-0005-0000-0000-000092000000}"/>
    <cellStyle name="Normal 2 2 2 2 21" xfId="158" xr:uid="{00000000-0005-0000-0000-000093000000}"/>
    <cellStyle name="Normal 2 2 2 2 22" xfId="159" xr:uid="{00000000-0005-0000-0000-000094000000}"/>
    <cellStyle name="Normal 2 2 2 2 23" xfId="160" xr:uid="{00000000-0005-0000-0000-000095000000}"/>
    <cellStyle name="Normal 2 2 2 2 24" xfId="161" xr:uid="{00000000-0005-0000-0000-000096000000}"/>
    <cellStyle name="Normal 2 2 2 2 25" xfId="162" xr:uid="{00000000-0005-0000-0000-000097000000}"/>
    <cellStyle name="Normal 2 2 2 2 3" xfId="163" xr:uid="{00000000-0005-0000-0000-000098000000}"/>
    <cellStyle name="Normal 2 2 2 2 4" xfId="164" xr:uid="{00000000-0005-0000-0000-000099000000}"/>
    <cellStyle name="Normal 2 2 2 2 5" xfId="165" xr:uid="{00000000-0005-0000-0000-00009A000000}"/>
    <cellStyle name="Normal 2 2 2 2 6" xfId="166" xr:uid="{00000000-0005-0000-0000-00009B000000}"/>
    <cellStyle name="Normal 2 2 2 2 7" xfId="167" xr:uid="{00000000-0005-0000-0000-00009C000000}"/>
    <cellStyle name="Normal 2 2 2 2 8" xfId="168" xr:uid="{00000000-0005-0000-0000-00009D000000}"/>
    <cellStyle name="Normal 2 2 2 2 9" xfId="169" xr:uid="{00000000-0005-0000-0000-00009E000000}"/>
    <cellStyle name="Normal 2 2 2 20" xfId="170" xr:uid="{00000000-0005-0000-0000-00009F000000}"/>
    <cellStyle name="Normal 2 2 2 21" xfId="171" xr:uid="{00000000-0005-0000-0000-0000A0000000}"/>
    <cellStyle name="Normal 2 2 2 22" xfId="172" xr:uid="{00000000-0005-0000-0000-0000A1000000}"/>
    <cellStyle name="Normal 2 2 2 23" xfId="173" xr:uid="{00000000-0005-0000-0000-0000A2000000}"/>
    <cellStyle name="Normal 2 2 2 24" xfId="174" xr:uid="{00000000-0005-0000-0000-0000A3000000}"/>
    <cellStyle name="Normal 2 2 2 25" xfId="175" xr:uid="{00000000-0005-0000-0000-0000A4000000}"/>
    <cellStyle name="Normal 2 2 2 26" xfId="176" xr:uid="{00000000-0005-0000-0000-0000A5000000}"/>
    <cellStyle name="Normal 2 2 2 27" xfId="177" xr:uid="{00000000-0005-0000-0000-0000A6000000}"/>
    <cellStyle name="Normal 2 2 2 28" xfId="178" xr:uid="{00000000-0005-0000-0000-0000A7000000}"/>
    <cellStyle name="Normal 2 2 2 29" xfId="179" xr:uid="{00000000-0005-0000-0000-0000A8000000}"/>
    <cellStyle name="Normal 2 2 2 3" xfId="180" xr:uid="{00000000-0005-0000-0000-0000A9000000}"/>
    <cellStyle name="Normal 2 2 2 3 2" xfId="929" xr:uid="{FAD534F7-EC01-4187-90F6-AA99EABDECF7}"/>
    <cellStyle name="Normal 2 2 2 3 3" xfId="781" xr:uid="{3CAF1B82-B5EB-4C2A-B461-1335F0843598}"/>
    <cellStyle name="Normal 2 2 2 30" xfId="181" xr:uid="{00000000-0005-0000-0000-0000AA000000}"/>
    <cellStyle name="Normal 2 2 2 31" xfId="182" xr:uid="{00000000-0005-0000-0000-0000AB000000}"/>
    <cellStyle name="Normal 2 2 2 32" xfId="183" xr:uid="{00000000-0005-0000-0000-0000AC000000}"/>
    <cellStyle name="Normal 2 2 2 33" xfId="184" xr:uid="{00000000-0005-0000-0000-0000AD000000}"/>
    <cellStyle name="Normal 2 2 2 33 2" xfId="969" xr:uid="{6873F9D7-2094-4843-8CDB-F101B557257B}"/>
    <cellStyle name="Normal 2 2 2 33 2 2" xfId="1015" xr:uid="{C39CC4F9-F529-4B48-8EC2-1E0528879686}"/>
    <cellStyle name="Normal 2 2 2 34" xfId="185" xr:uid="{00000000-0005-0000-0000-0000AE000000}"/>
    <cellStyle name="Normal 2 2 2 35" xfId="186" xr:uid="{00000000-0005-0000-0000-0000AF000000}"/>
    <cellStyle name="Normal 2 2 2 36" xfId="187" xr:uid="{00000000-0005-0000-0000-0000B0000000}"/>
    <cellStyle name="Normal 2 2 2 37" xfId="188" xr:uid="{00000000-0005-0000-0000-0000B1000000}"/>
    <cellStyle name="Normal 2 2 2 38" xfId="189" xr:uid="{00000000-0005-0000-0000-0000B2000000}"/>
    <cellStyle name="Normal 2 2 2 39" xfId="190" xr:uid="{00000000-0005-0000-0000-0000B3000000}"/>
    <cellStyle name="Normal 2 2 2 4" xfId="191" xr:uid="{00000000-0005-0000-0000-0000B4000000}"/>
    <cellStyle name="Normal 2 2 2 40" xfId="192" xr:uid="{00000000-0005-0000-0000-0000B5000000}"/>
    <cellStyle name="Normal 2 2 2 41" xfId="193" xr:uid="{00000000-0005-0000-0000-0000B6000000}"/>
    <cellStyle name="Normal 2 2 2 42" xfId="194" xr:uid="{00000000-0005-0000-0000-0000B7000000}"/>
    <cellStyle name="Normal 2 2 2 43" xfId="195" xr:uid="{00000000-0005-0000-0000-0000B8000000}"/>
    <cellStyle name="Normal 2 2 2 44" xfId="196" xr:uid="{00000000-0005-0000-0000-0000B9000000}"/>
    <cellStyle name="Normal 2 2 2 45" xfId="197" xr:uid="{00000000-0005-0000-0000-0000BA000000}"/>
    <cellStyle name="Normal 2 2 2 46" xfId="198" xr:uid="{00000000-0005-0000-0000-0000BB000000}"/>
    <cellStyle name="Normal 2 2 2 47" xfId="199" xr:uid="{00000000-0005-0000-0000-0000BC000000}"/>
    <cellStyle name="Normal 2 2 2 48" xfId="200" xr:uid="{00000000-0005-0000-0000-0000BD000000}"/>
    <cellStyle name="Normal 2 2 2 49" xfId="201" xr:uid="{00000000-0005-0000-0000-0000BE000000}"/>
    <cellStyle name="Normal 2 2 2 5" xfId="202" xr:uid="{00000000-0005-0000-0000-0000BF000000}"/>
    <cellStyle name="Normal 2 2 2 50" xfId="203" xr:uid="{00000000-0005-0000-0000-0000C0000000}"/>
    <cellStyle name="Normal 2 2 2 51" xfId="204" xr:uid="{00000000-0005-0000-0000-0000C1000000}"/>
    <cellStyle name="Normal 2 2 2 52" xfId="205" xr:uid="{00000000-0005-0000-0000-0000C2000000}"/>
    <cellStyle name="Normal 2 2 2 53" xfId="206" xr:uid="{00000000-0005-0000-0000-0000C3000000}"/>
    <cellStyle name="Normal 2 2 2 54" xfId="207" xr:uid="{00000000-0005-0000-0000-0000C4000000}"/>
    <cellStyle name="Normal 2 2 2 55" xfId="208" xr:uid="{00000000-0005-0000-0000-0000C5000000}"/>
    <cellStyle name="Normal 2 2 2 6" xfId="209" xr:uid="{00000000-0005-0000-0000-0000C6000000}"/>
    <cellStyle name="Normal 2 2 2 7" xfId="210" xr:uid="{00000000-0005-0000-0000-0000C7000000}"/>
    <cellStyle name="Normal 2 2 2 8" xfId="211" xr:uid="{00000000-0005-0000-0000-0000C8000000}"/>
    <cellStyle name="Normal 2 2 2 9" xfId="212" xr:uid="{00000000-0005-0000-0000-0000C9000000}"/>
    <cellStyle name="Normal 2 2 20" xfId="213" xr:uid="{00000000-0005-0000-0000-0000CA000000}"/>
    <cellStyle name="Normal 2 2 21" xfId="214" xr:uid="{00000000-0005-0000-0000-0000CB000000}"/>
    <cellStyle name="Normal 2 2 22" xfId="215" xr:uid="{00000000-0005-0000-0000-0000CC000000}"/>
    <cellStyle name="Normal 2 2 23" xfId="216" xr:uid="{00000000-0005-0000-0000-0000CD000000}"/>
    <cellStyle name="Normal 2 2 24" xfId="217" xr:uid="{00000000-0005-0000-0000-0000CE000000}"/>
    <cellStyle name="Normal 2 2 25" xfId="218" xr:uid="{00000000-0005-0000-0000-0000CF000000}"/>
    <cellStyle name="Normal 2 2 26" xfId="219" xr:uid="{00000000-0005-0000-0000-0000D0000000}"/>
    <cellStyle name="Normal 2 2 27" xfId="220" xr:uid="{00000000-0005-0000-0000-0000D1000000}"/>
    <cellStyle name="Normal 2 2 28" xfId="221" xr:uid="{00000000-0005-0000-0000-0000D2000000}"/>
    <cellStyle name="Normal 2 2 29" xfId="222" xr:uid="{00000000-0005-0000-0000-0000D3000000}"/>
    <cellStyle name="Normal 2 2 3" xfId="223" xr:uid="{00000000-0005-0000-0000-0000D4000000}"/>
    <cellStyle name="Normal 2 2 3 2" xfId="782" xr:uid="{A6D9C672-E562-469D-9AB7-5FDEA18EB90B}"/>
    <cellStyle name="Normal 2 2 30" xfId="224" xr:uid="{00000000-0005-0000-0000-0000D5000000}"/>
    <cellStyle name="Normal 2 2 31" xfId="225" xr:uid="{00000000-0005-0000-0000-0000D6000000}"/>
    <cellStyle name="Normal 2 2 32" xfId="226" xr:uid="{00000000-0005-0000-0000-0000D7000000}"/>
    <cellStyle name="Normal 2 2 33" xfId="227" xr:uid="{00000000-0005-0000-0000-0000D8000000}"/>
    <cellStyle name="Normal 2 2 33 2" xfId="968" xr:uid="{C2FC6319-CB13-4ED0-8614-7CBD5CA3665D}"/>
    <cellStyle name="Normal 2 2 33 2 2" xfId="1017" xr:uid="{76175E91-B33D-495B-BF48-EE67BE353665}"/>
    <cellStyle name="Normal 2 2 34" xfId="228" xr:uid="{00000000-0005-0000-0000-0000D9000000}"/>
    <cellStyle name="Normal 2 2 35" xfId="229" xr:uid="{00000000-0005-0000-0000-0000DA000000}"/>
    <cellStyle name="Normal 2 2 36" xfId="230" xr:uid="{00000000-0005-0000-0000-0000DB000000}"/>
    <cellStyle name="Normal 2 2 37" xfId="231" xr:uid="{00000000-0005-0000-0000-0000DC000000}"/>
    <cellStyle name="Normal 2 2 38" xfId="232" xr:uid="{00000000-0005-0000-0000-0000DD000000}"/>
    <cellStyle name="Normal 2 2 39" xfId="233" xr:uid="{00000000-0005-0000-0000-0000DE000000}"/>
    <cellStyle name="Normal 2 2 4" xfId="234" xr:uid="{00000000-0005-0000-0000-0000DF000000}"/>
    <cellStyle name="Normal 2 2 4 2" xfId="930" xr:uid="{CC994218-BD07-4BEA-B3F8-DF45D7430CBB}"/>
    <cellStyle name="Normal 2 2 4 3" xfId="783" xr:uid="{9DEA1186-C671-4E7C-9A50-9A3F03B69A11}"/>
    <cellStyle name="Normal 2 2 40" xfId="235" xr:uid="{00000000-0005-0000-0000-0000E0000000}"/>
    <cellStyle name="Normal 2 2 41" xfId="236" xr:uid="{00000000-0005-0000-0000-0000E1000000}"/>
    <cellStyle name="Normal 2 2 42" xfId="237" xr:uid="{00000000-0005-0000-0000-0000E2000000}"/>
    <cellStyle name="Normal 2 2 43" xfId="238" xr:uid="{00000000-0005-0000-0000-0000E3000000}"/>
    <cellStyle name="Normal 2 2 44" xfId="239" xr:uid="{00000000-0005-0000-0000-0000E4000000}"/>
    <cellStyle name="Normal 2 2 45" xfId="240" xr:uid="{00000000-0005-0000-0000-0000E5000000}"/>
    <cellStyle name="Normal 2 2 46" xfId="241" xr:uid="{00000000-0005-0000-0000-0000E6000000}"/>
    <cellStyle name="Normal 2 2 47" xfId="242" xr:uid="{00000000-0005-0000-0000-0000E7000000}"/>
    <cellStyle name="Normal 2 2 48" xfId="243" xr:uid="{00000000-0005-0000-0000-0000E8000000}"/>
    <cellStyle name="Normal 2 2 49" xfId="244" xr:uid="{00000000-0005-0000-0000-0000E9000000}"/>
    <cellStyle name="Normal 2 2 5" xfId="245" xr:uid="{00000000-0005-0000-0000-0000EA000000}"/>
    <cellStyle name="Normal 2 2 50" xfId="246" xr:uid="{00000000-0005-0000-0000-0000EB000000}"/>
    <cellStyle name="Normal 2 2 51" xfId="247" xr:uid="{00000000-0005-0000-0000-0000EC000000}"/>
    <cellStyle name="Normal 2 2 52" xfId="248" xr:uid="{00000000-0005-0000-0000-0000ED000000}"/>
    <cellStyle name="Normal 2 2 53" xfId="249" xr:uid="{00000000-0005-0000-0000-0000EE000000}"/>
    <cellStyle name="Normal 2 2 54" xfId="250" xr:uid="{00000000-0005-0000-0000-0000EF000000}"/>
    <cellStyle name="Normal 2 2 55" xfId="251" xr:uid="{00000000-0005-0000-0000-0000F0000000}"/>
    <cellStyle name="Normal 2 2 6" xfId="252" xr:uid="{00000000-0005-0000-0000-0000F1000000}"/>
    <cellStyle name="Normal 2 2 6 2" xfId="931" xr:uid="{22AFDCD9-60AA-4CCA-9EB9-B597332D4131}"/>
    <cellStyle name="Normal 2 2 6 3" xfId="784" xr:uid="{5F0815D5-5A5C-4636-9D54-BC2DAAFBBFF4}"/>
    <cellStyle name="Normal 2 2 7" xfId="253" xr:uid="{00000000-0005-0000-0000-0000F2000000}"/>
    <cellStyle name="Normal 2 2 8" xfId="254" xr:uid="{00000000-0005-0000-0000-0000F3000000}"/>
    <cellStyle name="Normal 2 2 9" xfId="255" xr:uid="{00000000-0005-0000-0000-0000F4000000}"/>
    <cellStyle name="Normal 2 2_CONSOLIDADA" xfId="534" xr:uid="{490D1E2E-CC2C-46A1-B3E0-9B2B15632FB6}"/>
    <cellStyle name="Normal 2 20" xfId="256" xr:uid="{00000000-0005-0000-0000-0000F5000000}"/>
    <cellStyle name="Normal 2 21" xfId="257" xr:uid="{00000000-0005-0000-0000-0000F6000000}"/>
    <cellStyle name="Normal 2 22" xfId="258" xr:uid="{00000000-0005-0000-0000-0000F7000000}"/>
    <cellStyle name="Normal 2 23" xfId="259" xr:uid="{00000000-0005-0000-0000-0000F8000000}"/>
    <cellStyle name="Normal 2 24" xfId="260" xr:uid="{00000000-0005-0000-0000-0000F9000000}"/>
    <cellStyle name="Normal 2 25" xfId="261" xr:uid="{00000000-0005-0000-0000-0000FA000000}"/>
    <cellStyle name="Normal 2 26" xfId="262" xr:uid="{00000000-0005-0000-0000-0000FB000000}"/>
    <cellStyle name="Normal 2 27" xfId="263" xr:uid="{00000000-0005-0000-0000-0000FC000000}"/>
    <cellStyle name="Normal 2 28" xfId="264" xr:uid="{00000000-0005-0000-0000-0000FD000000}"/>
    <cellStyle name="Normal 2 29" xfId="265" xr:uid="{00000000-0005-0000-0000-0000FE000000}"/>
    <cellStyle name="Normal 2 3" xfId="266" xr:uid="{00000000-0005-0000-0000-0000FF000000}"/>
    <cellStyle name="Normal 2 3 10" xfId="267" xr:uid="{00000000-0005-0000-0000-000000010000}"/>
    <cellStyle name="Normal 2 3 11" xfId="535" xr:uid="{1425BE7D-363F-4588-A38C-8CFB885BFE4D}"/>
    <cellStyle name="Normal 2 3 2" xfId="268" xr:uid="{00000000-0005-0000-0000-000001010000}"/>
    <cellStyle name="Normal 2 3 2 2" xfId="785" xr:uid="{3EFCF06D-E25A-453C-A8F6-F4194AD5CA04}"/>
    <cellStyle name="Normal 2 3 2 3" xfId="786" xr:uid="{33642616-F931-4FDE-9FCC-4548ED8DA4C1}"/>
    <cellStyle name="Normal 2 3 2 4" xfId="932" xr:uid="{54FE7419-E02A-4D3F-A901-52439315D425}"/>
    <cellStyle name="Normal 2 3 2 5" xfId="536" xr:uid="{26FAB71B-8C1E-4466-BC1F-408FD94A2255}"/>
    <cellStyle name="Normal 2 3 3" xfId="269" xr:uid="{00000000-0005-0000-0000-000002010000}"/>
    <cellStyle name="Normal 2 3 3 2" xfId="788" xr:uid="{03F26452-2FC6-473D-9E33-D972BFA78CEA}"/>
    <cellStyle name="Normal 2 3 3 3" xfId="933" xr:uid="{5363F29C-DCA2-4683-8DA2-456A63C54DE5}"/>
    <cellStyle name="Normal 2 3 3 4" xfId="787" xr:uid="{73693453-FFEC-4103-BCA3-DD7750A17AAC}"/>
    <cellStyle name="Normal 2 3 4" xfId="270" xr:uid="{00000000-0005-0000-0000-000003010000}"/>
    <cellStyle name="Normal 2 3 5" xfId="271" xr:uid="{00000000-0005-0000-0000-000004010000}"/>
    <cellStyle name="Normal 2 3 6" xfId="272" xr:uid="{00000000-0005-0000-0000-000005010000}"/>
    <cellStyle name="Normal 2 3 7" xfId="273" xr:uid="{00000000-0005-0000-0000-000006010000}"/>
    <cellStyle name="Normal 2 3 8" xfId="274" xr:uid="{00000000-0005-0000-0000-000007010000}"/>
    <cellStyle name="Normal 2 3 9" xfId="275" xr:uid="{00000000-0005-0000-0000-000008010000}"/>
    <cellStyle name="Normal 2 3_CONSOLIDADA" xfId="537" xr:uid="{6FC0A12B-A803-4DB7-9647-DE58632CD895}"/>
    <cellStyle name="Normal 2 30" xfId="276" xr:uid="{00000000-0005-0000-0000-000009010000}"/>
    <cellStyle name="Normal 2 31" xfId="277" xr:uid="{00000000-0005-0000-0000-00000A010000}"/>
    <cellStyle name="Normal 2 32" xfId="278" xr:uid="{00000000-0005-0000-0000-00000B010000}"/>
    <cellStyle name="Normal 2 33" xfId="279" xr:uid="{00000000-0005-0000-0000-00000C010000}"/>
    <cellStyle name="Normal 2 33 2" xfId="280" xr:uid="{00000000-0005-0000-0000-00000D010000}"/>
    <cellStyle name="Normal 2 33 3" xfId="281" xr:uid="{00000000-0005-0000-0000-00000E010000}"/>
    <cellStyle name="Normal 2 33 4" xfId="282" xr:uid="{00000000-0005-0000-0000-00000F010000}"/>
    <cellStyle name="Normal 2 33 5" xfId="283" xr:uid="{00000000-0005-0000-0000-000010010000}"/>
    <cellStyle name="Normal 2 34" xfId="284" xr:uid="{00000000-0005-0000-0000-000011010000}"/>
    <cellStyle name="Normal 2 35" xfId="285" xr:uid="{00000000-0005-0000-0000-000012010000}"/>
    <cellStyle name="Normal 2 36" xfId="286" xr:uid="{00000000-0005-0000-0000-000013010000}"/>
    <cellStyle name="Normal 2 37" xfId="287" xr:uid="{00000000-0005-0000-0000-000014010000}"/>
    <cellStyle name="Normal 2 38" xfId="288" xr:uid="{00000000-0005-0000-0000-000015010000}"/>
    <cellStyle name="Normal 2 39" xfId="289" xr:uid="{00000000-0005-0000-0000-000016010000}"/>
    <cellStyle name="Normal 2 4" xfId="290" xr:uid="{00000000-0005-0000-0000-000017010000}"/>
    <cellStyle name="Normal 2 4 2" xfId="291" xr:uid="{00000000-0005-0000-0000-000018010000}"/>
    <cellStyle name="Normal 2 4 2 2" xfId="540" xr:uid="{11A5AA94-1C87-4E6E-89A1-600A0D1A60C9}"/>
    <cellStyle name="Normal 2 4 2 3" xfId="934" xr:uid="{403566E2-294C-4E83-B7D8-A5F05574F2D3}"/>
    <cellStyle name="Normal 2 4 2 4" xfId="539" xr:uid="{1E0D5B2C-081F-4B3F-AFED-2719E728D030}"/>
    <cellStyle name="Normal 2 4 3" xfId="292" xr:uid="{00000000-0005-0000-0000-000019010000}"/>
    <cellStyle name="Normal 2 4 3 2" xfId="789" xr:uid="{2ECCE7BB-A79D-4271-9ED3-46572F48DC20}"/>
    <cellStyle name="Normal 2 4 3 3" xfId="541" xr:uid="{7B494753-6A9E-4485-9B07-9B7A273C0FBD}"/>
    <cellStyle name="Normal 2 4 4" xfId="293" xr:uid="{00000000-0005-0000-0000-00001A010000}"/>
    <cellStyle name="Normal 2 4 4 2" xfId="791" xr:uid="{8C27C7E4-91A0-429B-85B8-E54AB7B68C15}"/>
    <cellStyle name="Normal 2 4 4 3" xfId="792" xr:uid="{84607C96-CF0F-453F-BA51-DD43D4884FBF}"/>
    <cellStyle name="Normal 2 4 4 4" xfId="790" xr:uid="{93F25D78-367F-49AA-A9D6-5578D05373B7}"/>
    <cellStyle name="Normal 2 4 5" xfId="294" xr:uid="{00000000-0005-0000-0000-00001B010000}"/>
    <cellStyle name="Normal 2 4 6" xfId="295" xr:uid="{00000000-0005-0000-0000-00001C010000}"/>
    <cellStyle name="Normal 2 4 7" xfId="538" xr:uid="{484F7610-E35F-493D-8F48-1F25098C08C9}"/>
    <cellStyle name="Normal 2 40" xfId="296" xr:uid="{00000000-0005-0000-0000-00001D010000}"/>
    <cellStyle name="Normal 2 5" xfId="297" xr:uid="{00000000-0005-0000-0000-00001E010000}"/>
    <cellStyle name="Normal 2 5 2" xfId="793" xr:uid="{361B4B14-94AB-4EC1-B906-6C361F970306}"/>
    <cellStyle name="Normal 2 5 3" xfId="794" xr:uid="{2128A559-D3E8-4E8E-8E30-D3D529E4A671}"/>
    <cellStyle name="Normal 2 6" xfId="298" xr:uid="{00000000-0005-0000-0000-00001F010000}"/>
    <cellStyle name="Normal 2 6 2" xfId="795" xr:uid="{15E5B4E5-03E2-4818-9CEF-29C73A841A4D}"/>
    <cellStyle name="Normal 2 7" xfId="299" xr:uid="{00000000-0005-0000-0000-000020010000}"/>
    <cellStyle name="Normal 2 7 2" xfId="796" xr:uid="{76356CAE-3458-4FF2-9B2F-CE84E6276F8F}"/>
    <cellStyle name="Normal 2 8" xfId="300" xr:uid="{00000000-0005-0000-0000-000021010000}"/>
    <cellStyle name="Normal 2 8 2" xfId="797" xr:uid="{29C3531F-E5BF-44EF-AF11-221239537B6D}"/>
    <cellStyle name="Normal 2 9" xfId="301" xr:uid="{00000000-0005-0000-0000-000022010000}"/>
    <cellStyle name="Normal 2 9 2" xfId="798" xr:uid="{F1B539FF-D382-4DF2-B142-884B8B72FA6C}"/>
    <cellStyle name="Normal 2_CONSOLIDADA" xfId="542" xr:uid="{ECFBCB6F-1388-4A09-83AE-92EA38CC2849}"/>
    <cellStyle name="Normal 20" xfId="302" xr:uid="{00000000-0005-0000-0000-000023010000}"/>
    <cellStyle name="Normal 20 2" xfId="799" xr:uid="{25A1B707-F517-4B6C-87E7-74D2BEF69402}"/>
    <cellStyle name="Normal 20 2 2" xfId="960" xr:uid="{445B856E-E26C-46F9-8FD3-90CCFC78757C}"/>
    <cellStyle name="Normal 20 2 3" xfId="1005" xr:uid="{A0A13519-F326-4580-92C7-561217DBD617}"/>
    <cellStyle name="Normal 20 3" xfId="935" xr:uid="{33DA0AAB-D868-4C5C-809F-3F5828E60B6D}"/>
    <cellStyle name="Normal 20 4" xfId="596" xr:uid="{D24C82F9-F51C-4728-B885-733505699C2D}"/>
    <cellStyle name="Normal 21" xfId="303" xr:uid="{00000000-0005-0000-0000-000024010000}"/>
    <cellStyle name="Normal 21 2" xfId="800" xr:uid="{FE13375A-BC64-4F9A-9496-F947F9088562}"/>
    <cellStyle name="Normal 21 2 2" xfId="954" xr:uid="{C13C4749-5C1C-4BDF-8434-6C5E7EA7889E}"/>
    <cellStyle name="Normal 21 2 3" xfId="1006" xr:uid="{63A9F291-7899-4496-9FBC-955B868E0BC1}"/>
    <cellStyle name="Normal 21 3" xfId="936" xr:uid="{AC8BFBC5-37F4-4F11-BE4D-CEB05E415022}"/>
    <cellStyle name="Normal 21 4" xfId="543" xr:uid="{10B45112-9DA6-42BA-B19C-89BD9C24D350}"/>
    <cellStyle name="Normal 22" xfId="304" xr:uid="{00000000-0005-0000-0000-000025010000}"/>
    <cellStyle name="Normal 22 2" xfId="801" xr:uid="{41CEC9C1-5A21-4DB4-A059-19F55818328A}"/>
    <cellStyle name="Normal 22 2 2" xfId="965" xr:uid="{459643D0-A494-4D15-876B-5A0E9EE03B0B}"/>
    <cellStyle name="Normal 22 2 3" xfId="1007" xr:uid="{A9B7A39F-6B36-4BEA-B6D4-F0D7F56C6A01}"/>
    <cellStyle name="Normal 22 3" xfId="937" xr:uid="{55EBEF0B-8514-4193-81B5-5A8E85C9187A}"/>
    <cellStyle name="Normal 22 4" xfId="597" xr:uid="{129291CC-9A22-4D0B-A197-2A6C38F67FCD}"/>
    <cellStyle name="Normal 23" xfId="305" xr:uid="{00000000-0005-0000-0000-000026010000}"/>
    <cellStyle name="Normal 23 2" xfId="970" xr:uid="{85A6886B-C4B7-4003-B6E9-7CDA72EFBB1C}"/>
    <cellStyle name="Normal 23 3" xfId="938" xr:uid="{DEF8023B-BC45-41F2-AF4A-13A751498D0A}"/>
    <cellStyle name="Normal 23 4" xfId="598" xr:uid="{162D12EC-7D2A-4484-8A12-996339392FA3}"/>
    <cellStyle name="Normal 24" xfId="306" xr:uid="{00000000-0005-0000-0000-000027010000}"/>
    <cellStyle name="Normal 24 2" xfId="952" xr:uid="{05E48DF2-1E8C-4F56-92BB-FA89CB3CD08E}"/>
    <cellStyle name="Normal 24 3" xfId="939" xr:uid="{323FD7A3-EF3C-4957-823D-12AEC03A31E2}"/>
    <cellStyle name="Normal 24 4" xfId="599" xr:uid="{C4EF66BF-EC5A-4EF8-8E75-AB596EA57DEE}"/>
    <cellStyle name="Normal 25" xfId="307" xr:uid="{00000000-0005-0000-0000-000028010000}"/>
    <cellStyle name="Normal 26" xfId="308" xr:uid="{00000000-0005-0000-0000-000029010000}"/>
    <cellStyle name="Normal 27" xfId="309" xr:uid="{00000000-0005-0000-0000-00002A010000}"/>
    <cellStyle name="Normal 28" xfId="310" xr:uid="{00000000-0005-0000-0000-00002B010000}"/>
    <cellStyle name="Normal 28 10" xfId="311" xr:uid="{00000000-0005-0000-0000-00002C010000}"/>
    <cellStyle name="Normal 28 2" xfId="312" xr:uid="{00000000-0005-0000-0000-00002D010000}"/>
    <cellStyle name="Normal 28 3" xfId="313" xr:uid="{00000000-0005-0000-0000-00002E010000}"/>
    <cellStyle name="Normal 28 4" xfId="314" xr:uid="{00000000-0005-0000-0000-00002F010000}"/>
    <cellStyle name="Normal 28 5" xfId="315" xr:uid="{00000000-0005-0000-0000-000030010000}"/>
    <cellStyle name="Normal 28 6" xfId="316" xr:uid="{00000000-0005-0000-0000-000031010000}"/>
    <cellStyle name="Normal 28 7" xfId="317" xr:uid="{00000000-0005-0000-0000-000032010000}"/>
    <cellStyle name="Normal 28 8" xfId="318" xr:uid="{00000000-0005-0000-0000-000033010000}"/>
    <cellStyle name="Normal 28 9" xfId="319" xr:uid="{00000000-0005-0000-0000-000034010000}"/>
    <cellStyle name="Normal 29" xfId="320" xr:uid="{00000000-0005-0000-0000-000035010000}"/>
    <cellStyle name="Normal 29 2" xfId="321" xr:uid="{00000000-0005-0000-0000-000036010000}"/>
    <cellStyle name="Normal 29 2 2" xfId="322" xr:uid="{00000000-0005-0000-0000-000037010000}"/>
    <cellStyle name="Normal 29 2 3" xfId="323" xr:uid="{00000000-0005-0000-0000-000038010000}"/>
    <cellStyle name="Normal 29 2 4" xfId="324" xr:uid="{00000000-0005-0000-0000-000039010000}"/>
    <cellStyle name="Normal 29 2 5" xfId="325" xr:uid="{00000000-0005-0000-0000-00003A010000}"/>
    <cellStyle name="Normal 29 3" xfId="326" xr:uid="{00000000-0005-0000-0000-00003B010000}"/>
    <cellStyle name="Normal 29 4" xfId="327" xr:uid="{00000000-0005-0000-0000-00003C010000}"/>
    <cellStyle name="Normal 29 5" xfId="328" xr:uid="{00000000-0005-0000-0000-00003D010000}"/>
    <cellStyle name="Normal 3" xfId="329" xr:uid="{00000000-0005-0000-0000-00003E010000}"/>
    <cellStyle name="Normal 3 10" xfId="802" xr:uid="{0E1094BD-A224-4C43-B359-C8997425F571}"/>
    <cellStyle name="Normal 3 10 2" xfId="803" xr:uid="{195A447F-3D50-41D7-ABBE-0FA912A03E9E}"/>
    <cellStyle name="Normal 3 10 3" xfId="804" xr:uid="{3AAE88E8-E04B-4041-8EE7-7A266DC7154F}"/>
    <cellStyle name="Normal 3 11" xfId="805" xr:uid="{BCC7EF3B-04D4-4939-A341-1BF1F10976F7}"/>
    <cellStyle name="Normal 3 2" xfId="2" xr:uid="{00000000-0005-0000-0000-00003F010000}"/>
    <cellStyle name="Normal 3 2 10" xfId="806" xr:uid="{98EF681F-CB47-4CA2-ACFB-E1A4BBD5DA68}"/>
    <cellStyle name="Normal 3 2 11" xfId="544" xr:uid="{B7EB1295-066C-4141-ABF0-265DE65FC86D}"/>
    <cellStyle name="Normal 3 2 2" xfId="807" xr:uid="{4BEA00A6-D2CD-4CEB-8C29-3C84969CDF67}"/>
    <cellStyle name="Normal 3 2 2 2" xfId="808" xr:uid="{FCFED498-E080-4E10-9680-34B4C5403AEE}"/>
    <cellStyle name="Normal 3 2 2 2 2" xfId="809" xr:uid="{6E83E5B4-4144-401A-893D-CE9A90F5A293}"/>
    <cellStyle name="Normal 3 2 2 3" xfId="810" xr:uid="{0D5EC6FF-5279-42FE-909B-488FB36B3147}"/>
    <cellStyle name="Normal 3 2 2 3 2" xfId="811" xr:uid="{1A9FBAC8-5470-45D0-95E7-178CF467AA62}"/>
    <cellStyle name="Normal 3 2 2 4" xfId="812" xr:uid="{A441CC75-15C8-4F50-AF79-47BC077AB141}"/>
    <cellStyle name="Normal 3 2 2 5" xfId="813" xr:uid="{AE1968D7-6BF4-4806-91E2-99304FC039A0}"/>
    <cellStyle name="Normal 3 2 2 6" xfId="814" xr:uid="{05C8DC11-4D04-4265-908B-5D16B6AA0291}"/>
    <cellStyle name="Normal 3 2 3" xfId="815" xr:uid="{15D4BC6F-DDEE-4F80-BBBC-613B816EFCC7}"/>
    <cellStyle name="Normal 3 2 3 2" xfId="816" xr:uid="{5F014B0C-5C03-487E-8EC2-3AD074CC740E}"/>
    <cellStyle name="Normal 3 2 4" xfId="817" xr:uid="{D58D68E2-3341-47A3-A20E-54CF2AFE9CF9}"/>
    <cellStyle name="Normal 3 2 4 2" xfId="818" xr:uid="{CE7E83B4-8B6E-448D-9186-8C47E69BF3BF}"/>
    <cellStyle name="Normal 3 2 5" xfId="819" xr:uid="{EAFB4AE9-2788-4ADA-9BFE-1C3EE4095E84}"/>
    <cellStyle name="Normal 3 2 6" xfId="820" xr:uid="{5FD08698-09E3-4D1F-902E-69F7DCC6ED02}"/>
    <cellStyle name="Normal 3 2 7" xfId="821" xr:uid="{80164B3B-55AD-4EBF-B228-6841EBFEF338}"/>
    <cellStyle name="Normal 3 2 8" xfId="822" xr:uid="{58A81E14-24EA-40D2-8FCB-66ECE09B1B55}"/>
    <cellStyle name="Normal 3 2 9" xfId="823" xr:uid="{101DA3FF-BA51-40B0-AAA8-C239F5E6E7BF}"/>
    <cellStyle name="Normal 3 2 9 2" xfId="824" xr:uid="{8C1162BB-7284-4A4D-81DE-1068947B3FAC}"/>
    <cellStyle name="Normal 3 2 9 3" xfId="825" xr:uid="{2B8123D3-D9E9-46F8-97DB-398EA5420011}"/>
    <cellStyle name="Normal 3 3" xfId="330" xr:uid="{00000000-0005-0000-0000-000040010000}"/>
    <cellStyle name="Normal 3 3 2" xfId="826" xr:uid="{3832690C-C0A5-4569-BCD5-695DDF5ABAF4}"/>
    <cellStyle name="Normal 3 3 2 2" xfId="827" xr:uid="{A4BE1B99-4251-4753-8B09-C62069417993}"/>
    <cellStyle name="Normal 3 3 2 3" xfId="828" xr:uid="{7775D77E-4E0F-4EFA-8C12-8AD50008560E}"/>
    <cellStyle name="Normal 3 3 2 4" xfId="829" xr:uid="{5B3071DB-640C-4CAF-9B62-522559F9FC6F}"/>
    <cellStyle name="Normal 3 3 3" xfId="830" xr:uid="{9CEBA7BD-EA52-4081-A554-4AF3768FD7D4}"/>
    <cellStyle name="Normal 3 3 3 2" xfId="831" xr:uid="{60B0BA6A-E7A9-42A0-B7E9-A94545264CEB}"/>
    <cellStyle name="Normal 3 3 4" xfId="832" xr:uid="{F5330821-387B-4D34-8A68-40992A91338D}"/>
    <cellStyle name="Normal 3 3 5" xfId="833" xr:uid="{1F47F3E7-697E-468B-9A30-47B6521598D4}"/>
    <cellStyle name="Normal 3 3 5 2" xfId="834" xr:uid="{4C392D9D-A5C3-4B0D-855C-8F2ADDF31DF8}"/>
    <cellStyle name="Normal 3 3 5 3" xfId="835" xr:uid="{66A331D3-F922-40E9-8778-7821EF376B3A}"/>
    <cellStyle name="Normal 3 3 6" xfId="836" xr:uid="{78FB5BA3-91A0-4523-AAA2-DF44B37F81B1}"/>
    <cellStyle name="Normal 3 3 7" xfId="837" xr:uid="{6A38517F-159C-4E9B-818F-2B2FA5EA5418}"/>
    <cellStyle name="Normal 3 3 8" xfId="950" xr:uid="{630C2B30-9C26-4A1F-A320-7CC7DC7C3B85}"/>
    <cellStyle name="Normal 3 3 9" xfId="545" xr:uid="{948126A8-DAA8-4042-92B7-601FBD1CB124}"/>
    <cellStyle name="Normal 3 4" xfId="331" xr:uid="{00000000-0005-0000-0000-000041010000}"/>
    <cellStyle name="Normal 3 4 2" xfId="838" xr:uid="{73A6B200-7565-45B5-9F35-0419F093C362}"/>
    <cellStyle name="Normal 3 4 3" xfId="839" xr:uid="{937C5C09-A8D6-4C8C-B154-9493D2EE8C28}"/>
    <cellStyle name="Normal 3 4 4" xfId="995" xr:uid="{1223B875-9187-4574-B4C8-2414A8C2FDF7}"/>
    <cellStyle name="Normal 3 5" xfId="332" xr:uid="{00000000-0005-0000-0000-000042010000}"/>
    <cellStyle name="Normal 3 5 2" xfId="841" xr:uid="{A939A083-A0AE-4E49-96D6-64988D343619}"/>
    <cellStyle name="Normal 3 5 3" xfId="840" xr:uid="{8C6EE9E2-1F66-4B74-A420-088BF8D06897}"/>
    <cellStyle name="Normal 3 5 3 2" xfId="1014" xr:uid="{F474BC3A-111A-469D-92CE-BBD0013161D6}"/>
    <cellStyle name="Normal 3 6" xfId="333" xr:uid="{00000000-0005-0000-0000-000043010000}"/>
    <cellStyle name="Normal 3 6 2" xfId="842" xr:uid="{871752DB-FFDF-46DB-866C-2261AD07C4CF}"/>
    <cellStyle name="Normal 3 6 2 2" xfId="1026" xr:uid="{B8C352A4-22EF-4F43-86F9-C58618E172A9}"/>
    <cellStyle name="Normal 3 7" xfId="334" xr:uid="{00000000-0005-0000-0000-000044010000}"/>
    <cellStyle name="Normal 3 7 2" xfId="843" xr:uid="{0E1EDE57-492C-4CB4-8BC1-7296143AEFB1}"/>
    <cellStyle name="Normal 3 7 2 2" xfId="1027" xr:uid="{60B94174-D1B2-45C5-9C8E-C93C0B56BDA6}"/>
    <cellStyle name="Normal 3 8" xfId="335" xr:uid="{00000000-0005-0000-0000-000045010000}"/>
    <cellStyle name="Normal 3 8 2" xfId="844" xr:uid="{3AF33263-C8E1-457D-B450-A4142C7314A5}"/>
    <cellStyle name="Normal 3 8 2 2" xfId="1028" xr:uid="{65874F52-BA5D-43AD-9044-79FF7FE12AE5}"/>
    <cellStyle name="Normal 3 9" xfId="336" xr:uid="{00000000-0005-0000-0000-000046010000}"/>
    <cellStyle name="Normal 3 9 2" xfId="845" xr:uid="{8FD7B7C8-EA79-4D20-A5BE-4E27FD77B814}"/>
    <cellStyle name="Normal 3 9 2 2" xfId="1020" xr:uid="{09A117D6-E352-4415-9EE7-F0CA88893796}"/>
    <cellStyle name="Normal 30" xfId="337" xr:uid="{00000000-0005-0000-0000-000047010000}"/>
    <cellStyle name="Normal 30 2" xfId="338" xr:uid="{00000000-0005-0000-0000-000048010000}"/>
    <cellStyle name="Normal 30 3" xfId="339" xr:uid="{00000000-0005-0000-0000-000049010000}"/>
    <cellStyle name="Normal 30 4" xfId="340" xr:uid="{00000000-0005-0000-0000-00004A010000}"/>
    <cellStyle name="Normal 31" xfId="341" xr:uid="{00000000-0005-0000-0000-00004B010000}"/>
    <cellStyle name="Normal 31 2" xfId="342" xr:uid="{00000000-0005-0000-0000-00004C010000}"/>
    <cellStyle name="Normal 31 2 2" xfId="343" xr:uid="{00000000-0005-0000-0000-00004D010000}"/>
    <cellStyle name="Normal 31 2 3" xfId="344" xr:uid="{00000000-0005-0000-0000-00004E010000}"/>
    <cellStyle name="Normal 31 2 4" xfId="345" xr:uid="{00000000-0005-0000-0000-00004F010000}"/>
    <cellStyle name="Normal 31 2 5" xfId="346" xr:uid="{00000000-0005-0000-0000-000050010000}"/>
    <cellStyle name="Normal 31 3" xfId="347" xr:uid="{00000000-0005-0000-0000-000051010000}"/>
    <cellStyle name="Normal 31 4" xfId="348" xr:uid="{00000000-0005-0000-0000-000052010000}"/>
    <cellStyle name="Normal 31 5" xfId="349" xr:uid="{00000000-0005-0000-0000-000053010000}"/>
    <cellStyle name="Normal 32" xfId="350" xr:uid="{00000000-0005-0000-0000-000054010000}"/>
    <cellStyle name="Normal 33" xfId="351" xr:uid="{00000000-0005-0000-0000-000055010000}"/>
    <cellStyle name="Normal 33 2" xfId="352" xr:uid="{00000000-0005-0000-0000-000056010000}"/>
    <cellStyle name="Normal 33 3" xfId="353" xr:uid="{00000000-0005-0000-0000-000057010000}"/>
    <cellStyle name="Normal 33 4" xfId="354" xr:uid="{00000000-0005-0000-0000-000058010000}"/>
    <cellStyle name="Normal 33 5" xfId="355" xr:uid="{00000000-0005-0000-0000-000059010000}"/>
    <cellStyle name="Normal 34" xfId="356" xr:uid="{00000000-0005-0000-0000-00005A010000}"/>
    <cellStyle name="Normal 34 2" xfId="357" xr:uid="{00000000-0005-0000-0000-00005B010000}"/>
    <cellStyle name="Normal 34 3" xfId="358" xr:uid="{00000000-0005-0000-0000-00005C010000}"/>
    <cellStyle name="Normal 34 4" xfId="359" xr:uid="{00000000-0005-0000-0000-00005D010000}"/>
    <cellStyle name="Normal 35" xfId="360" xr:uid="{00000000-0005-0000-0000-00005E010000}"/>
    <cellStyle name="Normal 35 2" xfId="361" xr:uid="{00000000-0005-0000-0000-00005F010000}"/>
    <cellStyle name="Normal 35 3" xfId="362" xr:uid="{00000000-0005-0000-0000-000060010000}"/>
    <cellStyle name="Normal 35 4" xfId="363" xr:uid="{00000000-0005-0000-0000-000061010000}"/>
    <cellStyle name="Normal 35 5" xfId="364" xr:uid="{00000000-0005-0000-0000-000062010000}"/>
    <cellStyle name="Normal 37" xfId="365" xr:uid="{00000000-0005-0000-0000-000063010000}"/>
    <cellStyle name="Normal 37 2" xfId="366" xr:uid="{00000000-0005-0000-0000-000064010000}"/>
    <cellStyle name="Normal 37 3" xfId="367" xr:uid="{00000000-0005-0000-0000-000065010000}"/>
    <cellStyle name="Normal 37 4" xfId="368" xr:uid="{00000000-0005-0000-0000-000066010000}"/>
    <cellStyle name="Normal 37 5" xfId="369" xr:uid="{00000000-0005-0000-0000-000067010000}"/>
    <cellStyle name="Normal 39" xfId="370" xr:uid="{00000000-0005-0000-0000-000068010000}"/>
    <cellStyle name="Normal 39 2" xfId="371" xr:uid="{00000000-0005-0000-0000-000069010000}"/>
    <cellStyle name="Normal 39 3" xfId="372" xr:uid="{00000000-0005-0000-0000-00006A010000}"/>
    <cellStyle name="Normal 39 4" xfId="373" xr:uid="{00000000-0005-0000-0000-00006B010000}"/>
    <cellStyle name="Normal 39 5" xfId="374" xr:uid="{00000000-0005-0000-0000-00006C010000}"/>
    <cellStyle name="Normal 4" xfId="375" xr:uid="{00000000-0005-0000-0000-00006D010000}"/>
    <cellStyle name="Normal 4 2" xfId="440" xr:uid="{DE5B204C-01A6-41CB-A91C-5038D964AE8E}"/>
    <cellStyle name="Normal 4 2 2" xfId="547" xr:uid="{415EC48F-CF57-457B-BFEF-252DC1E1F325}"/>
    <cellStyle name="Normal 4 2 3" xfId="846" xr:uid="{D54A1F98-1BA3-472C-BB55-7AB281C6C1B5}"/>
    <cellStyle name="Normal 4 2 4" xfId="847" xr:uid="{048F8353-02AE-42DF-AB7A-C97BA11808F4}"/>
    <cellStyle name="Normal 4 2 5" xfId="848" xr:uid="{6A5F299E-E521-4C90-9F95-6DC1E6187FD0}"/>
    <cellStyle name="Normal 4 2 6" xfId="849" xr:uid="{F5CB7B87-8CDA-4CCB-BCC4-9C38E22FD939}"/>
    <cellStyle name="Normal 4 3" xfId="548" xr:uid="{8051A261-5961-4B17-8865-73A0940E542E}"/>
    <cellStyle name="Normal 4 3 2" xfId="850" xr:uid="{E2F8644D-F832-4AE7-B566-DA0A307354C8}"/>
    <cellStyle name="Normal 4 3 3" xfId="851" xr:uid="{4BF18D62-1306-4066-AC15-AEC15C75946A}"/>
    <cellStyle name="Normal 4 3 4" xfId="967" xr:uid="{AEE03FBD-021A-44D3-AAB3-4AC912A29E25}"/>
    <cellStyle name="Normal 4 3 5" xfId="993" xr:uid="{5800E10E-3892-4D6D-9208-AA83C84E16E6}"/>
    <cellStyle name="Normal 4 4" xfId="549" xr:uid="{4474E6F6-ECD9-4381-81FA-C2BE4C67DF83}"/>
    <cellStyle name="Normal 4 4 2" xfId="852" xr:uid="{65DEA8F0-CFA7-4A8F-B3A3-5B8A3D9105E2}"/>
    <cellStyle name="Normal 4 4 2 2" xfId="853" xr:uid="{FD804A0E-B051-4732-A0A8-8F843B0C2E3B}"/>
    <cellStyle name="Normal 4 5" xfId="854" xr:uid="{4E991112-4A97-4261-B6E4-3D4C27FB2E58}"/>
    <cellStyle name="Normal 4 5 2" xfId="855" xr:uid="{259DEFF4-6042-406C-AB2E-917B243504FD}"/>
    <cellStyle name="Normal 4 5 3" xfId="856" xr:uid="{4E7C0376-2BA9-48EC-B960-571C1FA824E9}"/>
    <cellStyle name="Normal 4 6" xfId="857" xr:uid="{C5FF5F00-E73D-477C-9ECD-F2082CF9850A}"/>
    <cellStyle name="Normal 4 7" xfId="858" xr:uid="{C602036B-47C4-4FC1-8993-5F8333C46A57}"/>
    <cellStyle name="Normal 4 8" xfId="546" xr:uid="{7A602C06-715E-4B7E-8CF1-ADD9C0724420}"/>
    <cellStyle name="Normal 41" xfId="376" xr:uid="{00000000-0005-0000-0000-00006E010000}"/>
    <cellStyle name="Normal 41 2" xfId="377" xr:uid="{00000000-0005-0000-0000-00006F010000}"/>
    <cellStyle name="Normal 41 3" xfId="378" xr:uid="{00000000-0005-0000-0000-000070010000}"/>
    <cellStyle name="Normal 41 4" xfId="379" xr:uid="{00000000-0005-0000-0000-000071010000}"/>
    <cellStyle name="Normal 41 5" xfId="380" xr:uid="{00000000-0005-0000-0000-000072010000}"/>
    <cellStyle name="Normal 43" xfId="381" xr:uid="{00000000-0005-0000-0000-000073010000}"/>
    <cellStyle name="Normal 43 2" xfId="382" xr:uid="{00000000-0005-0000-0000-000074010000}"/>
    <cellStyle name="Normal 43 3" xfId="383" xr:uid="{00000000-0005-0000-0000-000075010000}"/>
    <cellStyle name="Normal 43 4" xfId="384" xr:uid="{00000000-0005-0000-0000-000076010000}"/>
    <cellStyle name="Normal 43 5" xfId="385" xr:uid="{00000000-0005-0000-0000-000077010000}"/>
    <cellStyle name="Normal 45" xfId="386" xr:uid="{00000000-0005-0000-0000-000078010000}"/>
    <cellStyle name="Normal 45 2" xfId="387" xr:uid="{00000000-0005-0000-0000-000079010000}"/>
    <cellStyle name="Normal 45 3" xfId="388" xr:uid="{00000000-0005-0000-0000-00007A010000}"/>
    <cellStyle name="Normal 45 4" xfId="389" xr:uid="{00000000-0005-0000-0000-00007B010000}"/>
    <cellStyle name="Normal 45 5" xfId="390" xr:uid="{00000000-0005-0000-0000-00007C010000}"/>
    <cellStyle name="Normal 47" xfId="391" xr:uid="{00000000-0005-0000-0000-00007D010000}"/>
    <cellStyle name="Normal 47 2" xfId="392" xr:uid="{00000000-0005-0000-0000-00007E010000}"/>
    <cellStyle name="Normal 47 3" xfId="393" xr:uid="{00000000-0005-0000-0000-00007F010000}"/>
    <cellStyle name="Normal 47 4" xfId="394" xr:uid="{00000000-0005-0000-0000-000080010000}"/>
    <cellStyle name="Normal 47 5" xfId="395" xr:uid="{00000000-0005-0000-0000-000081010000}"/>
    <cellStyle name="Normal 49" xfId="396" xr:uid="{00000000-0005-0000-0000-000082010000}"/>
    <cellStyle name="Normal 49 2" xfId="397" xr:uid="{00000000-0005-0000-0000-000083010000}"/>
    <cellStyle name="Normal 49 3" xfId="398" xr:uid="{00000000-0005-0000-0000-000084010000}"/>
    <cellStyle name="Normal 49 4" xfId="399" xr:uid="{00000000-0005-0000-0000-000085010000}"/>
    <cellStyle name="Normal 49 5" xfId="400" xr:uid="{00000000-0005-0000-0000-000086010000}"/>
    <cellStyle name="Normal 5" xfId="4" xr:uid="{00000000-0005-0000-0000-000087010000}"/>
    <cellStyle name="Normal 5 2" xfId="550" xr:uid="{7463B290-0B97-48D0-A4A2-69A35C4326E4}"/>
    <cellStyle name="Normal 5 2 2" xfId="859" xr:uid="{69ED9185-0911-432F-BD05-62DF6AC5529E}"/>
    <cellStyle name="Normal 5 2 2 2" xfId="860" xr:uid="{FCC31F0E-DF48-43C2-B961-41EA3B021CB9}"/>
    <cellStyle name="Normal 5 2 2 3" xfId="861" xr:uid="{EE46CE1C-20EC-417E-ABB9-A3F8F52FE29E}"/>
    <cellStyle name="Normal 5 2 2 3 2" xfId="862" xr:uid="{8E3FDF7A-76BB-4590-BFFE-192F3C181C5B}"/>
    <cellStyle name="Normal 5 2 2 3 3" xfId="863" xr:uid="{3ED61426-AC5A-45E7-B2F7-3DC725FB0CFA}"/>
    <cellStyle name="Normal 5 2 2 4" xfId="864" xr:uid="{2801082E-224B-45A4-A284-8233B6DBC196}"/>
    <cellStyle name="Normal 5 2 3" xfId="865" xr:uid="{DFE3AEEA-F7ED-4989-AA56-D09B5AA15B5B}"/>
    <cellStyle name="Normal 5 2 3 2" xfId="866" xr:uid="{266180B5-DA9F-4971-8FF8-1B84E5554C32}"/>
    <cellStyle name="Normal 5 2 4" xfId="867" xr:uid="{B39BCA44-346C-4FE4-BA70-D55F1B2FBE4E}"/>
    <cellStyle name="Normal 5 2 5" xfId="868" xr:uid="{8226AD86-C341-46E6-AF90-55409356BD5C}"/>
    <cellStyle name="Normal 5 2 5 2" xfId="869" xr:uid="{C3D15663-1797-4DD0-AF8E-71B55D9B8DF4}"/>
    <cellStyle name="Normal 5 2 5 3" xfId="870" xr:uid="{16F2D6AF-B746-45A7-8ACC-2C7D0D51F39C}"/>
    <cellStyle name="Normal 5 2 6" xfId="871" xr:uid="{E86C3C1F-A02B-4B1D-9494-478061F3F687}"/>
    <cellStyle name="Normal 5 3" xfId="551" xr:uid="{C0D13CB3-8B21-458C-8DC0-4DB826B3EB20}"/>
    <cellStyle name="Normal 5 3 2" xfId="872" xr:uid="{C1559088-A80E-4999-BB61-8AF8B5957868}"/>
    <cellStyle name="Normal 5 3 3" xfId="873" xr:uid="{4A721AF9-F63F-4446-A6DF-11AE1924B454}"/>
    <cellStyle name="Normal 5 3 3 2" xfId="874" xr:uid="{D04A4EF5-932D-45D8-92BD-D0584DB91B22}"/>
    <cellStyle name="Normal 5 3 3 3" xfId="875" xr:uid="{BD90D236-3500-41B0-836E-BB1052C8A382}"/>
    <cellStyle name="Normal 5 3 4" xfId="876" xr:uid="{85C6F506-A040-4987-A2B2-4B65B753417D}"/>
    <cellStyle name="Normal 5 4" xfId="877" xr:uid="{B5D9305A-3258-4A79-A5EF-DA2C536DC01C}"/>
    <cellStyle name="Normal 5 4 2" xfId="878" xr:uid="{F9836012-5F3B-4067-9B97-D2DE5234CFD8}"/>
    <cellStyle name="Normal 5 5" xfId="879" xr:uid="{C3D28EA8-5255-4476-AD48-9FB6F5E9494F}"/>
    <cellStyle name="Normal 5 6" xfId="880" xr:uid="{0CB710E6-086D-4650-A033-BC3717304AA2}"/>
    <cellStyle name="Normal 5 6 2" xfId="881" xr:uid="{DCA7D749-46CB-4526-A36B-7956F75072DA}"/>
    <cellStyle name="Normal 5 6 3" xfId="882" xr:uid="{D46DA428-E0DC-42DC-9A4F-581AD62F6CCC}"/>
    <cellStyle name="Normal 5 7" xfId="883" xr:uid="{61FC5B91-C1C3-4B5D-8001-5C2F0FF69D58}"/>
    <cellStyle name="Normal 5 8" xfId="884" xr:uid="{BF8859F0-3BEB-4909-BB5A-B47B3A6DB7AE}"/>
    <cellStyle name="Normal 51" xfId="401" xr:uid="{00000000-0005-0000-0000-000088010000}"/>
    <cellStyle name="Normal 51 2" xfId="402" xr:uid="{00000000-0005-0000-0000-000089010000}"/>
    <cellStyle name="Normal 51 3" xfId="403" xr:uid="{00000000-0005-0000-0000-00008A010000}"/>
    <cellStyle name="Normal 51 4" xfId="404" xr:uid="{00000000-0005-0000-0000-00008B010000}"/>
    <cellStyle name="Normal 51 5" xfId="405" xr:uid="{00000000-0005-0000-0000-00008C010000}"/>
    <cellStyle name="Normal 53" xfId="406" xr:uid="{00000000-0005-0000-0000-00008D010000}"/>
    <cellStyle name="Normal 53 2" xfId="407" xr:uid="{00000000-0005-0000-0000-00008E010000}"/>
    <cellStyle name="Normal 53 3" xfId="408" xr:uid="{00000000-0005-0000-0000-00008F010000}"/>
    <cellStyle name="Normal 53 4" xfId="409" xr:uid="{00000000-0005-0000-0000-000090010000}"/>
    <cellStyle name="Normal 53 5" xfId="410" xr:uid="{00000000-0005-0000-0000-000091010000}"/>
    <cellStyle name="Normal 55" xfId="411" xr:uid="{00000000-0005-0000-0000-000092010000}"/>
    <cellStyle name="Normal 55 2" xfId="412" xr:uid="{00000000-0005-0000-0000-000093010000}"/>
    <cellStyle name="Normal 55 3" xfId="413" xr:uid="{00000000-0005-0000-0000-000094010000}"/>
    <cellStyle name="Normal 55 4" xfId="414" xr:uid="{00000000-0005-0000-0000-000095010000}"/>
    <cellStyle name="Normal 55 5" xfId="415" xr:uid="{00000000-0005-0000-0000-000096010000}"/>
    <cellStyle name="Normal 57" xfId="416" xr:uid="{00000000-0005-0000-0000-000097010000}"/>
    <cellStyle name="Normal 57 2" xfId="417" xr:uid="{00000000-0005-0000-0000-000098010000}"/>
    <cellStyle name="Normal 57 3" xfId="418" xr:uid="{00000000-0005-0000-0000-000099010000}"/>
    <cellStyle name="Normal 57 4" xfId="419" xr:uid="{00000000-0005-0000-0000-00009A010000}"/>
    <cellStyle name="Normal 57 5" xfId="420" xr:uid="{00000000-0005-0000-0000-00009B010000}"/>
    <cellStyle name="Normal 6" xfId="421" xr:uid="{00000000-0005-0000-0000-00009C010000}"/>
    <cellStyle name="Normal 6 2" xfId="422" xr:uid="{00000000-0005-0000-0000-00009D010000}"/>
    <cellStyle name="Normal 6 2 2" xfId="423" xr:uid="{00000000-0005-0000-0000-00009E010000}"/>
    <cellStyle name="Normal 6 2 2 2" xfId="941" xr:uid="{C702A60E-3C9B-4C93-8229-6B9B26450815}"/>
    <cellStyle name="Normal 6 2 2 3" xfId="885" xr:uid="{EC33C6AC-931F-4AEB-90ED-7E1B14254CAD}"/>
    <cellStyle name="Normal 6 2 3" xfId="424" xr:uid="{00000000-0005-0000-0000-00009F010000}"/>
    <cellStyle name="Normal 6 2 4" xfId="425" xr:uid="{00000000-0005-0000-0000-0000A0010000}"/>
    <cellStyle name="Normal 6 2 4 2" xfId="948" xr:uid="{E3BD4CE5-CDDA-4492-865B-3181388ED8D6}"/>
    <cellStyle name="Normal 6 2 4 3" xfId="886" xr:uid="{409728F6-60A8-4B0E-8F26-80626EC13021}"/>
    <cellStyle name="Normal 6 2 5" xfId="426" xr:uid="{00000000-0005-0000-0000-0000A1010000}"/>
    <cellStyle name="Normal 6 2 6" xfId="552" xr:uid="{1E4EB2A1-D890-4B34-93C4-584670EDBFF4}"/>
    <cellStyle name="Normal 6 3" xfId="553" xr:uid="{F4F2EE62-31BD-4B1E-A375-038FC33ADAA3}"/>
    <cellStyle name="Normal 6 3 2" xfId="887" xr:uid="{C2F34F9E-2FB2-4123-96C0-13638A5B72C9}"/>
    <cellStyle name="Normal 6 3 3" xfId="888" xr:uid="{91DBB841-BD6D-4D27-8008-70137DBCB3C4}"/>
    <cellStyle name="Normal 6 3 3 2" xfId="889" xr:uid="{1D02A244-56C1-4C73-B08F-8284A558C50A}"/>
    <cellStyle name="Normal 6 3 3 3" xfId="890" xr:uid="{16EA1E21-7607-4FEA-822C-F34A67432C99}"/>
    <cellStyle name="Normal 6 3 4" xfId="891" xr:uid="{6A06B38F-E149-479A-91A6-F29DB21F8474}"/>
    <cellStyle name="Normal 6 3 5" xfId="892" xr:uid="{B494217C-38A0-4FF4-B9A2-EFD14783E78C}"/>
    <cellStyle name="Normal 6 3 6" xfId="956" xr:uid="{A51FE351-B413-4985-A100-94A7F80CC312}"/>
    <cellStyle name="Normal 6 3 7" xfId="994" xr:uid="{58CCB38A-5423-4090-B522-6F8FE26BE708}"/>
    <cellStyle name="Normal 6 4" xfId="554" xr:uid="{74216402-9A62-4835-83A0-9A6EE050E84D}"/>
    <cellStyle name="Normal 6 4 2" xfId="893" xr:uid="{20E611DE-EAF4-4C90-BE9C-486E27943BA3}"/>
    <cellStyle name="Normal 6 4 2 2" xfId="894" xr:uid="{7A3A9C63-8F37-42FD-A0C6-D8E695FB8979}"/>
    <cellStyle name="Normal 6 4 2 3" xfId="895" xr:uid="{175F209E-0A9A-4AA1-A675-00C831B6B5EE}"/>
    <cellStyle name="Normal 6 4 3" xfId="896" xr:uid="{CCD95C58-C790-431F-B7B3-07349E8001C9}"/>
    <cellStyle name="Normal 6 5" xfId="897" xr:uid="{4676371E-157E-4F13-9B6D-FAD7630543CC}"/>
    <cellStyle name="Normal 6 5 2" xfId="898" xr:uid="{274792A2-FDA5-44D8-B246-1CC9E3065B33}"/>
    <cellStyle name="Normal 6 5 2 2" xfId="899" xr:uid="{0C0F36AE-34CB-4D1D-92EE-C6328DE84F56}"/>
    <cellStyle name="Normal 6 6" xfId="900" xr:uid="{41A4D772-F9DB-4D96-8056-17E17BC7CB95}"/>
    <cellStyle name="Normal 6 6 2" xfId="901" xr:uid="{0BBBB9F9-7530-45AA-AFB0-9F6A33B38153}"/>
    <cellStyle name="Normal 6_CONSOLIDADA" xfId="555" xr:uid="{54EF0DCE-7EF0-49AF-B8BD-0B5198FF3E95}"/>
    <cellStyle name="Normal 7" xfId="427" xr:uid="{00000000-0005-0000-0000-0000A2010000}"/>
    <cellStyle name="Normal 7 2" xfId="902" xr:uid="{6C80541B-C3C7-43C8-9216-454A5844F469}"/>
    <cellStyle name="Normal 7 2 2" xfId="951" xr:uid="{7ADBC0C0-9FD5-40F1-B59B-43D29D5CAB68}"/>
    <cellStyle name="Normal 7 2 3" xfId="1008" xr:uid="{1E5D52CB-5D5E-4418-943D-F669C545374F}"/>
    <cellStyle name="Normal 7 3" xfId="903" xr:uid="{4F2E2715-D713-4DB4-BD84-A6F5B5B8F1DB}"/>
    <cellStyle name="Normal 7 4" xfId="904" xr:uid="{9A4E5E7B-7C0E-4A67-B098-ACCAAB3D7D80}"/>
    <cellStyle name="Normal 7 5" xfId="942" xr:uid="{53B2F8FC-DA5C-4FD2-87E5-52CA7EDF9ECC}"/>
    <cellStyle name="Normal 7 6" xfId="556" xr:uid="{AF254808-A85B-4CC8-A636-31B100ACD3A1}"/>
    <cellStyle name="Normal 8" xfId="428" xr:uid="{00000000-0005-0000-0000-0000A3010000}"/>
    <cellStyle name="Normal 8 2" xfId="905" xr:uid="{6167399F-1270-47B1-BDE0-E397229753CF}"/>
    <cellStyle name="Normal 8 2 2" xfId="959" xr:uid="{5854C45F-9161-4989-97AF-0AF5644E230D}"/>
    <cellStyle name="Normal 8 2 3" xfId="1009" xr:uid="{6687FF55-10C4-42ED-A77E-3B1647D9F0C7}"/>
    <cellStyle name="Normal 8 3" xfId="906" xr:uid="{071EA0FC-B0F4-488D-B005-A54A027DD98E}"/>
    <cellStyle name="Normal 8 4" xfId="907" xr:uid="{9C4D6AFB-9F39-4A64-AFA9-60DAC211ED6B}"/>
    <cellStyle name="Normal 8 5" xfId="557" xr:uid="{9F977CC1-6595-42A1-8139-860BA681FBBC}"/>
    <cellStyle name="Normal 9" xfId="429" xr:uid="{00000000-0005-0000-0000-0000A4010000}"/>
    <cellStyle name="Normal 9 2" xfId="559" xr:uid="{5909D9FA-3472-4C75-A12E-647BA7B956F9}"/>
    <cellStyle name="Normal 9 3" xfId="560" xr:uid="{4F3504DB-008A-429B-85EF-EEF4CC206A81}"/>
    <cellStyle name="Normal 9 4" xfId="561" xr:uid="{B7D5B40F-E1BF-48C7-B4E8-E9E38845388A}"/>
    <cellStyle name="Normal 9 5" xfId="908" xr:uid="{48CB65DC-BD43-466E-8A5E-97A4AAC6611F}"/>
    <cellStyle name="Normal 9 5 2" xfId="909" xr:uid="{FE097978-73A6-4E6B-B25E-6238ED4B14F9}"/>
    <cellStyle name="Normal 9 5 3" xfId="910" xr:uid="{764ABFE4-984C-4D49-894C-7667E1034FDF}"/>
    <cellStyle name="Normal 9 6" xfId="911" xr:uid="{A76092C4-06E2-4002-9FAD-A17146D43EC3}"/>
    <cellStyle name="Normal 9 7" xfId="912" xr:uid="{2B2623C4-EC26-4DB6-B0E6-8264070DBAB5}"/>
    <cellStyle name="Normal 9 8" xfId="558" xr:uid="{0A2E6FDC-8E86-4EAA-AE8F-14852EDE9BE9}"/>
    <cellStyle name="Normal_Totales censales 071006" xfId="439" xr:uid="{00000000-0005-0000-0000-0000A5010000}"/>
    <cellStyle name="Notas" xfId="19" builtinId="10" customBuiltin="1"/>
    <cellStyle name="Notas 10" xfId="600" xr:uid="{CC6518EB-A3C7-4FDD-92EB-9A6AC4BA6027}"/>
    <cellStyle name="Notas 11" xfId="601" xr:uid="{B91080EA-19CE-4FC4-88BE-1E4E3839F21C}"/>
    <cellStyle name="Notas 12" xfId="602" xr:uid="{2430EEB0-E066-4277-A6FD-5BFD72A3A54E}"/>
    <cellStyle name="Notas 13" xfId="603" xr:uid="{C3B4034E-EAF2-46DF-87A1-28D600E0CD50}"/>
    <cellStyle name="Notas 14" xfId="604" xr:uid="{C095AF06-CCB3-4EEE-8EFF-304E16CEA963}"/>
    <cellStyle name="Notas 15" xfId="605" xr:uid="{779E5094-3751-4F4E-B21F-3ED9BD3D45A6}"/>
    <cellStyle name="Notas 16" xfId="606" xr:uid="{6619D0E1-B597-42AB-B8AD-00F00CC0F209}"/>
    <cellStyle name="Notas 17" xfId="607" xr:uid="{AFC2CE92-EEC1-4091-8969-5835E647533F}"/>
    <cellStyle name="Notas 18" xfId="608" xr:uid="{7147EF5C-3AAA-4D72-B9E9-8D60D629C4DA}"/>
    <cellStyle name="Notas 19" xfId="609" xr:uid="{3BABE7B0-CF46-44C4-9F3D-DCD6D33B0DF2}"/>
    <cellStyle name="Notas 2" xfId="562" xr:uid="{2061A0D2-B960-48E0-AC16-614484B3FFE3}"/>
    <cellStyle name="Notas 2 2" xfId="563" xr:uid="{5705571B-541B-4CB6-9031-F500AA170D11}"/>
    <cellStyle name="Notas 2 2 2" xfId="610" xr:uid="{D1B84F8E-ADCC-4848-A9F1-3F5B7BCB8BA9}"/>
    <cellStyle name="Notas 2 2 3" xfId="958" xr:uid="{E954ACB1-A1E8-4530-83A5-A2D43754AB86}"/>
    <cellStyle name="Notas 2 3" xfId="611" xr:uid="{0A3E0E24-9387-4938-BAE6-D6A9492A5D44}"/>
    <cellStyle name="Notas 2 4" xfId="612" xr:uid="{601547E0-508E-4E02-9614-4B372659B493}"/>
    <cellStyle name="Notas 20" xfId="613" xr:uid="{DDF8BAC6-3337-43F7-A577-C444BB8A908A}"/>
    <cellStyle name="Notas 3" xfId="614" xr:uid="{AF541400-4035-4FF6-9962-CACCE90FEEE2}"/>
    <cellStyle name="Notas 4" xfId="615" xr:uid="{39612DB3-036C-4780-A5CF-9FA60B3FA06F}"/>
    <cellStyle name="Notas 4 2" xfId="913" xr:uid="{510D226C-D338-4300-983B-764487E151FE}"/>
    <cellStyle name="Notas 5" xfId="616" xr:uid="{6FDD45FD-5825-4D1A-B023-027B1F893DD6}"/>
    <cellStyle name="Notas 6" xfId="617" xr:uid="{5F78D5A9-0F07-467A-8633-D7DA1DC034F3}"/>
    <cellStyle name="Notas 7" xfId="618" xr:uid="{D3478415-4B42-458E-9E64-A9B93EB49291}"/>
    <cellStyle name="Notas 8" xfId="619" xr:uid="{36C9009E-E80F-4F4E-8014-2529C9827D40}"/>
    <cellStyle name="Notas 9" xfId="620" xr:uid="{8AEF54B1-2018-45C4-9FF3-39147509F97E}"/>
    <cellStyle name="Notas 9 2" xfId="621" xr:uid="{AD021F9F-00C0-4743-B106-1F04B8257818}"/>
    <cellStyle name="Porcentaje" xfId="3" builtinId="5"/>
    <cellStyle name="Porcentual 2" xfId="430" xr:uid="{00000000-0005-0000-0000-0000A8010000}"/>
    <cellStyle name="Porcentual 2 2" xfId="431" xr:uid="{00000000-0005-0000-0000-0000A9010000}"/>
    <cellStyle name="Porcentual 2 2 2" xfId="432" xr:uid="{00000000-0005-0000-0000-0000AA010000}"/>
    <cellStyle name="Porcentual 2 2 2 2" xfId="433" xr:uid="{00000000-0005-0000-0000-0000AB010000}"/>
    <cellStyle name="Porcentual 2 2 2 2 2" xfId="434" xr:uid="{00000000-0005-0000-0000-0000AC010000}"/>
    <cellStyle name="Porcentual 2 2 2 2 2 2" xfId="435" xr:uid="{00000000-0005-0000-0000-0000AD010000}"/>
    <cellStyle name="Porcentual 2 2 2 3" xfId="436" xr:uid="{00000000-0005-0000-0000-0000AE010000}"/>
    <cellStyle name="Porcentual 2 2 2 4" xfId="945" xr:uid="{A145516C-CE55-4E82-B3B8-A4C9116B2495}"/>
    <cellStyle name="Porcentual 2 2 2 5" xfId="566" xr:uid="{74F61B3A-8C5A-469E-9D83-BAD007DEE9BF}"/>
    <cellStyle name="Porcentual 2 2 3" xfId="437" xr:uid="{00000000-0005-0000-0000-0000AF010000}"/>
    <cellStyle name="Porcentual 2 2 4" xfId="944" xr:uid="{2F19A2F4-B9C8-4D6C-9BDA-A84253675FDA}"/>
    <cellStyle name="Porcentual 2 2 5" xfId="565" xr:uid="{0ED266BC-951E-4285-A26D-EF207E70D06B}"/>
    <cellStyle name="Porcentual 2 3" xfId="438" xr:uid="{00000000-0005-0000-0000-0000B0010000}"/>
    <cellStyle name="Porcentual 2 3 2" xfId="946" xr:uid="{95D56D88-46E4-42D5-B85F-94A2C5C70249}"/>
    <cellStyle name="Porcentual 2 3 3" xfId="567" xr:uid="{CC168B61-C8A4-4EB3-8122-A209B1CD2C04}"/>
    <cellStyle name="Porcentual 2 4" xfId="943" xr:uid="{29C25693-3B15-4822-8353-2A34C59F38EF}"/>
    <cellStyle name="Porcentual 2 5" xfId="564" xr:uid="{D1A7DA22-39A2-449F-BA67-8EDC219A0FC7}"/>
    <cellStyle name="Result" xfId="568" xr:uid="{4ECAA4EE-147D-4AB6-A421-F5E63E40270B}"/>
    <cellStyle name="Result 2" xfId="914" xr:uid="{BE95DF23-D947-40BD-B4B5-6821911B8CF4}"/>
    <cellStyle name="Result 3" xfId="915" xr:uid="{3B2FACBB-E73C-4E19-B04F-CA3F7B0F3A10}"/>
    <cellStyle name="Result2" xfId="569" xr:uid="{53D6A350-FF55-4541-B262-DB3D6D08DEA6}"/>
    <cellStyle name="Result2 2" xfId="916" xr:uid="{EF804A9E-0734-469B-AFFC-37BE272534A4}"/>
    <cellStyle name="Result2 3" xfId="917" xr:uid="{775A5E72-AA9D-43FC-87BD-04E5F5B9F121}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9F4C686B-2B75-4086-82CF-7C4476602DFD}">
      <tableStyleElement type="wholeTable" dxfId="1"/>
      <tableStyleElement type="headerRow" dxfId="0"/>
    </tableStyle>
  </tableStyles>
  <colors>
    <mruColors>
      <color rgb="FFFFA600"/>
      <color rgb="FFD9EEE3"/>
      <color rgb="FF1B9171"/>
      <color rgb="FF1B9971"/>
      <color rgb="FFF96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58698052003194E-2"/>
          <c:y val="2.5084878033282007E-2"/>
          <c:w val="0.97355245286887548"/>
          <c:h val="0.64830757744019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'AÑO CORRIDO I TRIMESTRE 25-26'!$G$52</c:f>
              <c:strCache>
                <c:ptCount val="1"/>
                <c:pt idx="0">
                  <c:v>% No VIS 2025 ene-mar</c:v>
                </c:pt>
              </c:strCache>
            </c:strRef>
          </c:tx>
          <c:spPr>
            <a:solidFill>
              <a:srgbClr val="1B91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'AÑO CORRIDO I TRIMESTRE 25-26'!$A$53:$A$71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'AÑO CORRIDO I TRIMESTRE 25-26'!$G$53:$G$71</c:f>
            </c:numRef>
          </c:val>
          <c:extLst>
            <c:ext xmlns:c16="http://schemas.microsoft.com/office/drawing/2014/chart" uri="{C3380CC4-5D6E-409C-BE32-E72D297353CC}">
              <c16:uniqueId val="{00000000-CB75-4D54-9A8F-FE23FEEFE9F3}"/>
            </c:ext>
          </c:extLst>
        </c:ser>
        <c:ser>
          <c:idx val="1"/>
          <c:order val="1"/>
          <c:tx>
            <c:strRef>
              <c:f>'AÑO CORRIDO I TRIMESTRE 25-26'!$I$52</c:f>
              <c:strCache>
                <c:ptCount val="1"/>
                <c:pt idx="0">
                  <c:v>% No VIS 2026</c:v>
                </c:pt>
              </c:strCache>
            </c:strRef>
          </c:tx>
          <c:spPr>
            <a:solidFill>
              <a:srgbClr val="FFA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'AÑO CORRIDO I TRIMESTRE 25-26'!$A$53:$A$71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'AÑO CORRIDO I TRIMESTRE 25-26'!$I$53:$I$71</c:f>
            </c:numRef>
          </c:val>
          <c:extLst>
            <c:ext xmlns:c16="http://schemas.microsoft.com/office/drawing/2014/chart" uri="{C3380CC4-5D6E-409C-BE32-E72D297353CC}">
              <c16:uniqueId val="{00000001-CB75-4D54-9A8F-FE23FEEFE9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5"/>
        <c:axId val="1999032943"/>
        <c:axId val="1999028367"/>
      </c:barChart>
      <c:catAx>
        <c:axId val="199903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1999028367"/>
        <c:crosses val="autoZero"/>
        <c:auto val="0"/>
        <c:lblAlgn val="ctr"/>
        <c:lblOffset val="100"/>
        <c:noMultiLvlLbl val="0"/>
      </c:catAx>
      <c:valAx>
        <c:axId val="1999028367"/>
        <c:scaling>
          <c:orientation val="minMax"/>
          <c:max val="0.5"/>
        </c:scaling>
        <c:delete val="1"/>
        <c:axPos val="l"/>
        <c:numFmt formatCode="0.0%" sourceLinked="1"/>
        <c:majorTickMark val="none"/>
        <c:minorTickMark val="none"/>
        <c:tickLblPos val="nextTo"/>
        <c:crossAx val="199903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544659249579176"/>
          <c:y val="0.13624574622855834"/>
          <c:w val="0.24851124137309569"/>
          <c:h val="8.1659777382857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Tw Cen MT" panose="020B06020201040206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306356914046821E-2"/>
          <c:y val="4.9043979790047404E-2"/>
          <c:w val="0.97355245286887548"/>
          <c:h val="0.65372054110732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'AÑO CORRIDO I TRIMESTRE 25-26'!$I$29</c:f>
              <c:strCache>
                <c:ptCount val="1"/>
                <c:pt idx="0">
                  <c:v>% VIP/VIS 2026</c:v>
                </c:pt>
              </c:strCache>
            </c:strRef>
          </c:tx>
          <c:spPr>
            <a:solidFill>
              <a:srgbClr val="1B91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'AÑO CORRIDO I TRIMESTRE 25-26'!$A$30:$A$48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'AÑO CORRIDO I TRIMESTRE 25-26'!$I$30:$I$48</c:f>
            </c:numRef>
          </c:val>
          <c:extLst>
            <c:ext xmlns:c16="http://schemas.microsoft.com/office/drawing/2014/chart" uri="{C3380CC4-5D6E-409C-BE32-E72D297353CC}">
              <c16:uniqueId val="{00000000-94A2-4FE3-9B28-B0BD84A878A7}"/>
            </c:ext>
          </c:extLst>
        </c:ser>
        <c:ser>
          <c:idx val="1"/>
          <c:order val="1"/>
          <c:tx>
            <c:strRef>
              <c:f>'AÑO CORRIDO I TRIMESTRE 25-26'!$G$29</c:f>
              <c:strCache>
                <c:ptCount val="1"/>
                <c:pt idx="0">
                  <c:v>% VIP/VIS 2025 Ene-mar</c:v>
                </c:pt>
              </c:strCache>
            </c:strRef>
          </c:tx>
          <c:spPr>
            <a:solidFill>
              <a:srgbClr val="FFA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'AÑO CORRIDO I TRIMESTRE 25-26'!$A$30:$A$48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'AÑO CORRIDO I TRIMESTRE 25-26'!$G$30:$G$48</c:f>
            </c:numRef>
          </c:val>
          <c:extLst>
            <c:ext xmlns:c16="http://schemas.microsoft.com/office/drawing/2014/chart" uri="{C3380CC4-5D6E-409C-BE32-E72D297353CC}">
              <c16:uniqueId val="{00000001-94A2-4FE3-9B28-B0BD84A878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"/>
        <c:axId val="1999032943"/>
        <c:axId val="1999028367"/>
      </c:barChart>
      <c:catAx>
        <c:axId val="1999032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1999028367"/>
        <c:crosses val="autoZero"/>
        <c:auto val="0"/>
        <c:lblAlgn val="ctr"/>
        <c:lblOffset val="100"/>
        <c:noMultiLvlLbl val="0"/>
      </c:catAx>
      <c:valAx>
        <c:axId val="1999028367"/>
        <c:scaling>
          <c:orientation val="minMax"/>
          <c:max val="0.97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199903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8544659249579176"/>
          <c:y val="0.13624574622855834"/>
          <c:w val="0.24851124137309569"/>
          <c:h val="8.1659777382857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Tw Cen MT" panose="020B06020201040206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38556877800699E-2"/>
          <c:y val="3.3372109079588111E-2"/>
          <c:w val="0.89089903280990212"/>
          <c:h val="0.72593925317594654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'Viviendas por localidad'!$BU$3</c:f>
              <c:strCache>
                <c:ptCount val="1"/>
                <c:pt idx="0">
                  <c:v>No. VIP/VIS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/>
            <a:sp3d/>
          </c:spPr>
          <c:invertIfNegative val="0"/>
          <c:dLbls>
            <c:spPr>
              <a:solidFill>
                <a:schemeClr val="accent3">
                  <a:lumMod val="75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'Viviendas por localidad'!$BT$4:$BT$22</c15:sqref>
                  </c15:fullRef>
                </c:ext>
              </c:extLst>
              <c:f>('Viviendas por localidad'!$BT$5:$BT$10,'Viviendas por localidad'!$BT$12:$BT$22)</c:f>
              <c:strCache>
                <c:ptCount val="17"/>
                <c:pt idx="0">
                  <c:v>Chapinero</c:v>
                </c:pt>
                <c:pt idx="1">
                  <c:v>Santa Fe</c:v>
                </c:pt>
                <c:pt idx="2">
                  <c:v>San Cristóbal</c:v>
                </c:pt>
                <c:pt idx="3">
                  <c:v>Usme</c:v>
                </c:pt>
                <c:pt idx="4">
                  <c:v>Tunjuelito</c:v>
                </c:pt>
                <c:pt idx="5">
                  <c:v>Bosa</c:v>
                </c:pt>
                <c:pt idx="6">
                  <c:v>Fontibon</c:v>
                </c:pt>
                <c:pt idx="7">
                  <c:v>Engativa</c:v>
                </c:pt>
                <c:pt idx="8">
                  <c:v>Suba</c:v>
                </c:pt>
                <c:pt idx="9">
                  <c:v>Barrios Unidos</c:v>
                </c:pt>
                <c:pt idx="10">
                  <c:v>Teusaquillo</c:v>
                </c:pt>
                <c:pt idx="11">
                  <c:v>Los Mártires</c:v>
                </c:pt>
                <c:pt idx="12">
                  <c:v>Antonio Nariño</c:v>
                </c:pt>
                <c:pt idx="13">
                  <c:v>Puente Aranda</c:v>
                </c:pt>
                <c:pt idx="14">
                  <c:v>La Candelaria</c:v>
                </c:pt>
                <c:pt idx="15">
                  <c:v>Rafael Uribe</c:v>
                </c:pt>
                <c:pt idx="16">
                  <c:v>Ciudad Bolívar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'Viviendas por localidad'!$BU$4:$BU$22</c15:sqref>
                  </c15:fullRef>
                </c:ext>
              </c:extLst>
              <c:f>('Viviendas por localidad'!$BU$5:$BU$10,'Viviendas por localidad'!$BU$12:$BU$22)</c:f>
              <c:numCache>
                <c:formatCode>#,##0;[Red]#,##0</c:formatCode>
                <c:ptCount val="17"/>
                <c:pt idx="0">
                  <c:v>102</c:v>
                </c:pt>
                <c:pt idx="1">
                  <c:v>0</c:v>
                </c:pt>
                <c:pt idx="2">
                  <c:v>0</c:v>
                </c:pt>
                <c:pt idx="3">
                  <c:v>174</c:v>
                </c:pt>
                <c:pt idx="4">
                  <c:v>36</c:v>
                </c:pt>
                <c:pt idx="5">
                  <c:v>676</c:v>
                </c:pt>
                <c:pt idx="6">
                  <c:v>5254</c:v>
                </c:pt>
                <c:pt idx="7">
                  <c:v>80</c:v>
                </c:pt>
                <c:pt idx="8">
                  <c:v>2343</c:v>
                </c:pt>
                <c:pt idx="9">
                  <c:v>66</c:v>
                </c:pt>
                <c:pt idx="10">
                  <c:v>356</c:v>
                </c:pt>
                <c:pt idx="11">
                  <c:v>198</c:v>
                </c:pt>
                <c:pt idx="12">
                  <c:v>336</c:v>
                </c:pt>
                <c:pt idx="13">
                  <c:v>1581</c:v>
                </c:pt>
                <c:pt idx="14">
                  <c:v>0</c:v>
                </c:pt>
                <c:pt idx="15">
                  <c:v>12</c:v>
                </c:pt>
                <c:pt idx="16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7-4260-A62A-B322B5E1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700320"/>
        <c:axId val="879701408"/>
      </c:barChart>
      <c:lineChart>
        <c:grouping val="standard"/>
        <c:varyColors val="0"/>
        <c:ser>
          <c:idx val="7"/>
          <c:order val="1"/>
          <c:tx>
            <c:strRef>
              <c:f>'Viviendas por localidad'!$BV$3</c:f>
              <c:strCache>
                <c:ptCount val="1"/>
                <c:pt idx="0">
                  <c:v>Participación %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459553412692344E-2"/>
                  <c:y val="-6.6792081571487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260-A62A-B322B5E1E5F8}"/>
                </c:ext>
              </c:extLst>
            </c:dLbl>
            <c:dLbl>
              <c:idx val="1"/>
              <c:layout>
                <c:manualLayout>
                  <c:x val="-2.7328196109103878E-2"/>
                  <c:y val="-9.5053172516954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260-A62A-B322B5E1E5F8}"/>
                </c:ext>
              </c:extLst>
            </c:dLbl>
            <c:dLbl>
              <c:idx val="2"/>
              <c:layout>
                <c:manualLayout>
                  <c:x val="-2.6525248018111833E-2"/>
                  <c:y val="-0.119479487834045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260-A62A-B322B5E1E5F8}"/>
                </c:ext>
              </c:extLst>
            </c:dLbl>
            <c:dLbl>
              <c:idx val="3"/>
              <c:layout>
                <c:manualLayout>
                  <c:x val="-2.4985342123709696E-2"/>
                  <c:y val="-0.116021771486018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260-A62A-B322B5E1E5F8}"/>
                </c:ext>
              </c:extLst>
            </c:dLbl>
            <c:dLbl>
              <c:idx val="4"/>
              <c:layout>
                <c:manualLayout>
                  <c:x val="-2.229065009485498E-2"/>
                  <c:y val="-7.3200584164415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260-A62A-B322B5E1E5F8}"/>
                </c:ext>
              </c:extLst>
            </c:dLbl>
            <c:dLbl>
              <c:idx val="5"/>
              <c:layout>
                <c:manualLayout>
                  <c:x val="-3.4792626866658904E-2"/>
                  <c:y val="-3.624905641401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260-A62A-B322B5E1E5F8}"/>
                </c:ext>
              </c:extLst>
            </c:dLbl>
            <c:dLbl>
              <c:idx val="6"/>
              <c:layout>
                <c:manualLayout>
                  <c:x val="-2.4042560129692917E-2"/>
                  <c:y val="-8.1823955718859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B7-4260-A62A-B322B5E1E5F8}"/>
                </c:ext>
              </c:extLst>
            </c:dLbl>
            <c:dLbl>
              <c:idx val="7"/>
              <c:layout>
                <c:manualLayout>
                  <c:x val="-3.6221509745040591E-2"/>
                  <c:y val="-0.1295681130694903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B7-4260-A62A-B322B5E1E5F8}"/>
                </c:ext>
              </c:extLst>
            </c:dLbl>
            <c:dLbl>
              <c:idx val="8"/>
              <c:layout>
                <c:manualLayout>
                  <c:x val="-2.8862371584995175E-2"/>
                  <c:y val="-3.3884837309749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B7-4260-A62A-B322B5E1E5F8}"/>
                </c:ext>
              </c:extLst>
            </c:dLbl>
            <c:dLbl>
              <c:idx val="9"/>
              <c:layout>
                <c:manualLayout>
                  <c:x val="-2.7702344767041687E-2"/>
                  <c:y val="-8.8684894966140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B7-4260-A62A-B322B5E1E5F8}"/>
                </c:ext>
              </c:extLst>
            </c:dLbl>
            <c:dLbl>
              <c:idx val="10"/>
              <c:layout>
                <c:manualLayout>
                  <c:x val="-2.3488538536258239E-2"/>
                  <c:y val="-7.4656100207495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B7-4260-A62A-B322B5E1E5F8}"/>
                </c:ext>
              </c:extLst>
            </c:dLbl>
            <c:dLbl>
              <c:idx val="11"/>
              <c:layout>
                <c:manualLayout>
                  <c:x val="-2.4664900935140097E-2"/>
                  <c:y val="-4.8825438601397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B7-4260-A62A-B322B5E1E5F8}"/>
                </c:ext>
              </c:extLst>
            </c:dLbl>
            <c:dLbl>
              <c:idx val="12"/>
              <c:layout>
                <c:manualLayout>
                  <c:x val="-2.6006079137015203E-2"/>
                  <c:y val="2.627665048615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B7-4260-A62A-B322B5E1E5F8}"/>
                </c:ext>
              </c:extLst>
            </c:dLbl>
            <c:dLbl>
              <c:idx val="13"/>
              <c:layout>
                <c:manualLayout>
                  <c:x val="-3.2207279931932793E-2"/>
                  <c:y val="6.7552983324750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B7-4260-A62A-B322B5E1E5F8}"/>
                </c:ext>
              </c:extLst>
            </c:dLbl>
            <c:dLbl>
              <c:idx val="14"/>
              <c:layout>
                <c:manualLayout>
                  <c:x val="-2.745679205363067E-2"/>
                  <c:y val="-6.9365093814334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B7-4260-A62A-B322B5E1E5F8}"/>
                </c:ext>
              </c:extLst>
            </c:dLbl>
            <c:dLbl>
              <c:idx val="15"/>
              <c:layout>
                <c:manualLayout>
                  <c:x val="-2.5372515458755025E-2"/>
                  <c:y val="-7.103453641193726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DB-4BD7-94D3-F9535E9A6B69}"/>
                </c:ext>
              </c:extLst>
            </c:dLbl>
            <c:dLbl>
              <c:idx val="16"/>
              <c:layout>
                <c:manualLayout>
                  <c:x val="-1.9412174255033724E-2"/>
                  <c:y val="-2.0083400749193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B-4BD7-94D3-F9535E9A6B69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'Viviendas por localidad'!$BT$4:$BT$22</c15:sqref>
                  </c15:fullRef>
                </c:ext>
              </c:extLst>
              <c:f>('Viviendas por localidad'!$BT$5:$BT$10,'Viviendas por localidad'!$BT$12:$BT$22)</c:f>
              <c:strCache>
                <c:ptCount val="17"/>
                <c:pt idx="0">
                  <c:v>Chapinero</c:v>
                </c:pt>
                <c:pt idx="1">
                  <c:v>Santa Fe</c:v>
                </c:pt>
                <c:pt idx="2">
                  <c:v>San Cristóbal</c:v>
                </c:pt>
                <c:pt idx="3">
                  <c:v>Usme</c:v>
                </c:pt>
                <c:pt idx="4">
                  <c:v>Tunjuelito</c:v>
                </c:pt>
                <c:pt idx="5">
                  <c:v>Bosa</c:v>
                </c:pt>
                <c:pt idx="6">
                  <c:v>Fontibon</c:v>
                </c:pt>
                <c:pt idx="7">
                  <c:v>Engativa</c:v>
                </c:pt>
                <c:pt idx="8">
                  <c:v>Suba</c:v>
                </c:pt>
                <c:pt idx="9">
                  <c:v>Barrios Unidos</c:v>
                </c:pt>
                <c:pt idx="10">
                  <c:v>Teusaquillo</c:v>
                </c:pt>
                <c:pt idx="11">
                  <c:v>Los Mártires</c:v>
                </c:pt>
                <c:pt idx="12">
                  <c:v>Antonio Nariño</c:v>
                </c:pt>
                <c:pt idx="13">
                  <c:v>Puente Aranda</c:v>
                </c:pt>
                <c:pt idx="14">
                  <c:v>La Candelaria</c:v>
                </c:pt>
                <c:pt idx="15">
                  <c:v>Rafael Uribe</c:v>
                </c:pt>
                <c:pt idx="16">
                  <c:v>Ciudad Bolívar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'Viviendas por localidad'!$BV$4:$BV$22</c15:sqref>
                  </c15:fullRef>
                </c:ext>
              </c:extLst>
              <c:f>('Viviendas por localidad'!$BV$5:$BV$10,'Viviendas por localidad'!$BV$12:$BV$22)</c:f>
              <c:numCache>
                <c:formatCode>0.0%</c:formatCode>
                <c:ptCount val="17"/>
                <c:pt idx="0">
                  <c:v>8.2165297245045919E-3</c:v>
                </c:pt>
                <c:pt idx="1">
                  <c:v>0</c:v>
                </c:pt>
                <c:pt idx="2">
                  <c:v>0</c:v>
                </c:pt>
                <c:pt idx="3">
                  <c:v>1.401643305944901E-2</c:v>
                </c:pt>
                <c:pt idx="4">
                  <c:v>2.8999516674722086E-3</c:v>
                </c:pt>
                <c:pt idx="5">
                  <c:v>5.4454647978089257E-2</c:v>
                </c:pt>
                <c:pt idx="6">
                  <c:v>0.4232318350249718</c:v>
                </c:pt>
                <c:pt idx="7">
                  <c:v>6.4443370388271304E-3</c:v>
                </c:pt>
                <c:pt idx="8">
                  <c:v>0.18873852102464958</c:v>
                </c:pt>
                <c:pt idx="9">
                  <c:v>5.3165780570323829E-3</c:v>
                </c:pt>
                <c:pt idx="10">
                  <c:v>2.8677299822780732E-2</c:v>
                </c:pt>
                <c:pt idx="11">
                  <c:v>1.5949734171097147E-2</c:v>
                </c:pt>
                <c:pt idx="12">
                  <c:v>2.706621556307395E-2</c:v>
                </c:pt>
                <c:pt idx="13">
                  <c:v>0.12735621072982117</c:v>
                </c:pt>
                <c:pt idx="14">
                  <c:v>0</c:v>
                </c:pt>
                <c:pt idx="15">
                  <c:v>9.666505558240696E-4</c:v>
                </c:pt>
                <c:pt idx="16">
                  <c:v>5.107137103270501E-2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0B7-4260-A62A-B322B5E1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694336"/>
        <c:axId val="879698144"/>
      </c:lineChart>
      <c:catAx>
        <c:axId val="8797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vert="horz"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es-CO"/>
          </a:p>
        </c:txPr>
        <c:crossAx val="879701408"/>
        <c:crosses val="autoZero"/>
        <c:auto val="0"/>
        <c:lblAlgn val="ctr"/>
        <c:lblOffset val="100"/>
        <c:noMultiLvlLbl val="0"/>
      </c:catAx>
      <c:valAx>
        <c:axId val="87970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ES">
                    <a:solidFill>
                      <a:schemeClr val="bg1">
                        <a:lumMod val="50000"/>
                      </a:schemeClr>
                    </a:solidFill>
                  </a:rPr>
                  <a:t>Unidades</a:t>
                </a:r>
              </a:p>
            </c:rich>
          </c:tx>
          <c:layout>
            <c:manualLayout>
              <c:xMode val="edge"/>
              <c:yMode val="edge"/>
              <c:x val="4.1505280669313499E-2"/>
              <c:y val="0.27584442119804253"/>
            </c:manualLayout>
          </c:layout>
          <c:overlay val="0"/>
        </c:title>
        <c:numFmt formatCode="#,##0;[Red]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 sz="900">
                <a:solidFill>
                  <a:schemeClr val="accent3">
                    <a:lumMod val="75000"/>
                  </a:schemeClr>
                </a:solidFill>
              </a:defRPr>
            </a:pPr>
            <a:endParaRPr lang="es-CO"/>
          </a:p>
        </c:txPr>
        <c:crossAx val="879700320"/>
        <c:crosses val="autoZero"/>
        <c:crossBetween val="between"/>
      </c:valAx>
      <c:valAx>
        <c:axId val="87969814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accent3">
                    <a:lumMod val="75000"/>
                  </a:schemeClr>
                </a:solidFill>
              </a:defRPr>
            </a:pPr>
            <a:endParaRPr lang="es-CO"/>
          </a:p>
        </c:txPr>
        <c:crossAx val="879694336"/>
        <c:crosses val="max"/>
        <c:crossBetween val="between"/>
      </c:valAx>
      <c:catAx>
        <c:axId val="87969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79698144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  <a:effectLst/>
        <a:sp3d/>
      </c:spPr>
    </c:plotArea>
    <c:legend>
      <c:legendPos val="r"/>
      <c:layout>
        <c:manualLayout>
          <c:xMode val="edge"/>
          <c:yMode val="edge"/>
          <c:x val="7.3855910241818076E-2"/>
          <c:y val="9.9511507123068915E-2"/>
          <c:w val="0.46529414897792731"/>
          <c:h val="0.13888060891679113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Gill Sans MT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15852490244764E-2"/>
          <c:y val="1.589146053712983E-2"/>
          <c:w val="0.9014497886621583"/>
          <c:h val="0.68997136721546171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'Viviendas por localidad'!$C$54</c:f>
              <c:strCache>
                <c:ptCount val="1"/>
                <c:pt idx="0">
                  <c:v>Vivienda</c:v>
                </c:pt>
              </c:strCache>
            </c:strRef>
          </c:tx>
          <c:spPr>
            <a:solidFill>
              <a:srgbClr val="D9EEE3"/>
            </a:solidFill>
            <a:effectLst/>
            <a:sp3d/>
          </c:spPr>
          <c:invertIfNegative val="0"/>
          <c:dLbls>
            <c:dLbl>
              <c:idx val="0"/>
              <c:layout>
                <c:manualLayout>
                  <c:x val="1.4316533521604768E-17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4-40B8-A889-40D0D515BF7E}"/>
                </c:ext>
              </c:extLst>
            </c:dLbl>
            <c:dLbl>
              <c:idx val="7"/>
              <c:layout>
                <c:manualLayout>
                  <c:x val="-3.1236433979829133E-3"/>
                  <c:y val="-1.3468013468013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4-40B8-A889-40D0D515BF7E}"/>
                </c:ext>
              </c:extLst>
            </c:dLbl>
            <c:dLbl>
              <c:idx val="10"/>
              <c:layout>
                <c:manualLayout>
                  <c:x val="7.1689587959249319E-5"/>
                  <c:y val="-3.617169764817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FF-4996-856A-F051DCB51297}"/>
                </c:ext>
              </c:extLst>
            </c:dLbl>
            <c:spPr>
              <a:solidFill>
                <a:srgbClr val="FFA600"/>
              </a:solidFill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'Viviendas por localidad'!$B$55:$B$73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'Viviendas por localidad'!$C$55:$C$73</c:f>
            </c:numRef>
          </c:val>
          <c:extLst>
            <c:ext xmlns:c16="http://schemas.microsoft.com/office/drawing/2014/chart" uri="{C3380CC4-5D6E-409C-BE32-E72D297353CC}">
              <c16:uniqueId val="{00000000-AF11-4238-B18A-F6B7FE95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2"/>
        <c:axId val="879697600"/>
        <c:axId val="879695424"/>
      </c:barChart>
      <c:lineChart>
        <c:grouping val="standard"/>
        <c:varyColors val="0"/>
        <c:ser>
          <c:idx val="7"/>
          <c:order val="1"/>
          <c:tx>
            <c:strRef>
              <c:f>'Viviendas por localidad'!$D$54</c:f>
              <c:strCache>
                <c:ptCount val="1"/>
                <c:pt idx="0">
                  <c:v>Participación %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55046221313824E-2"/>
                  <c:y val="-7.2272859831914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11-4238-B18A-F6B7FE95135B}"/>
                </c:ext>
              </c:extLst>
            </c:dLbl>
            <c:dLbl>
              <c:idx val="1"/>
              <c:layout>
                <c:manualLayout>
                  <c:x val="-3.028913377925186E-2"/>
                  <c:y val="-8.2588880935337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11-4238-B18A-F6B7FE95135B}"/>
                </c:ext>
              </c:extLst>
            </c:dLbl>
            <c:dLbl>
              <c:idx val="2"/>
              <c:layout>
                <c:manualLayout>
                  <c:x val="-2.7155406178173112E-2"/>
                  <c:y val="-7.859646332087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11-4238-B18A-F6B7FE95135B}"/>
                </c:ext>
              </c:extLst>
            </c:dLbl>
            <c:dLbl>
              <c:idx val="3"/>
              <c:layout>
                <c:manualLayout>
                  <c:x val="-2.7497285258739745E-2"/>
                  <c:y val="-8.162119886529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11-4238-B18A-F6B7FE95135B}"/>
                </c:ext>
              </c:extLst>
            </c:dLbl>
            <c:dLbl>
              <c:idx val="4"/>
              <c:layout>
                <c:manualLayout>
                  <c:x val="-2.439872939040998E-2"/>
                  <c:y val="-9.3535883772104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11-4238-B18A-F6B7FE95135B}"/>
                </c:ext>
              </c:extLst>
            </c:dLbl>
            <c:dLbl>
              <c:idx val="5"/>
              <c:layout>
                <c:manualLayout>
                  <c:x val="-2.7666134171551972E-2"/>
                  <c:y val="-8.1562342585964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11-4238-B18A-F6B7FE95135B}"/>
                </c:ext>
              </c:extLst>
            </c:dLbl>
            <c:dLbl>
              <c:idx val="6"/>
              <c:layout>
                <c:manualLayout>
                  <c:x val="-2.8807247836508013E-2"/>
                  <c:y val="-0.111569765900474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11-4238-B18A-F6B7FE95135B}"/>
                </c:ext>
              </c:extLst>
            </c:dLbl>
            <c:dLbl>
              <c:idx val="7"/>
              <c:layout>
                <c:manualLayout>
                  <c:x val="-2.8628437698686528E-2"/>
                  <c:y val="-1.2952358227948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11-4238-B18A-F6B7FE95135B}"/>
                </c:ext>
              </c:extLst>
            </c:dLbl>
            <c:dLbl>
              <c:idx val="8"/>
              <c:layout>
                <c:manualLayout>
                  <c:x val="-3.121478983659896E-2"/>
                  <c:y val="4.5514197089000239E-3"/>
                </c:manualLayout>
              </c:layout>
              <c:spPr>
                <a:solidFill>
                  <a:srgbClr val="1B9971"/>
                </a:solidFill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408145559634634E-2"/>
                      <c:h val="4.77726243123719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F11-4238-B18A-F6B7FE95135B}"/>
                </c:ext>
              </c:extLst>
            </c:dLbl>
            <c:dLbl>
              <c:idx val="9"/>
              <c:layout>
                <c:manualLayout>
                  <c:x val="-2.684488650967284E-2"/>
                  <c:y val="2.88088231395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11-4238-B18A-F6B7FE95135B}"/>
                </c:ext>
              </c:extLst>
            </c:dLbl>
            <c:dLbl>
              <c:idx val="10"/>
              <c:layout>
                <c:manualLayout>
                  <c:x val="-2.6820413870452538E-2"/>
                  <c:y val="-2.4449746811951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11-4238-B18A-F6B7FE95135B}"/>
                </c:ext>
              </c:extLst>
            </c:dLbl>
            <c:dLbl>
              <c:idx val="11"/>
              <c:layout>
                <c:manualLayout>
                  <c:x val="-2.9314409465377479E-2"/>
                  <c:y val="-7.6279593838648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11-4238-B18A-F6B7FE95135B}"/>
                </c:ext>
              </c:extLst>
            </c:dLbl>
            <c:dLbl>
              <c:idx val="12"/>
              <c:layout>
                <c:manualLayout>
                  <c:x val="-2.5797353358498833E-2"/>
                  <c:y val="-9.3545412527187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11-4238-B18A-F6B7FE95135B}"/>
                </c:ext>
              </c:extLst>
            </c:dLbl>
            <c:dLbl>
              <c:idx val="13"/>
              <c:layout>
                <c:manualLayout>
                  <c:x val="-2.9134861459036616E-2"/>
                  <c:y val="-0.109164611999257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11-4238-B18A-F6B7FE95135B}"/>
                </c:ext>
              </c:extLst>
            </c:dLbl>
            <c:dLbl>
              <c:idx val="14"/>
              <c:layout>
                <c:manualLayout>
                  <c:x val="-2.9906561913491794E-2"/>
                  <c:y val="-8.6668896063614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830691259795532E-2"/>
                      <c:h val="5.15110199936844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F11-4238-B18A-F6B7FE95135B}"/>
                </c:ext>
              </c:extLst>
            </c:dLbl>
            <c:dLbl>
              <c:idx val="15"/>
              <c:layout>
                <c:manualLayout>
                  <c:x val="-2.5761548859510344E-2"/>
                  <c:y val="-8.9036351372109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11-4238-B18A-F6B7FE95135B}"/>
                </c:ext>
              </c:extLst>
            </c:dLbl>
            <c:dLbl>
              <c:idx val="16"/>
              <c:layout>
                <c:manualLayout>
                  <c:x val="-3.0112660225074493E-2"/>
                  <c:y val="-8.3130782894562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11-4238-B18A-F6B7FE95135B}"/>
                </c:ext>
              </c:extLst>
            </c:dLbl>
            <c:dLbl>
              <c:idx val="17"/>
              <c:layout>
                <c:manualLayout>
                  <c:x val="-2.9691152833476602E-2"/>
                  <c:y val="-8.8077096423553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24644140026255E-2"/>
                      <c:h val="5.15110199936844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AF11-4238-B18A-F6B7FE95135B}"/>
                </c:ext>
              </c:extLst>
            </c:dLbl>
            <c:dLbl>
              <c:idx val="18"/>
              <c:layout>
                <c:manualLayout>
                  <c:x val="-2.5419142859222733E-2"/>
                  <c:y val="-0.114564985508372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11-4238-B18A-F6B7FE95135B}"/>
                </c:ext>
              </c:extLst>
            </c:dLbl>
            <c:spPr>
              <a:solidFill>
                <a:srgbClr val="1B9971"/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'Viviendas por localidad'!$B$55:$B$73</c:f>
              <c:strCache>
                <c:ptCount val="18"/>
                <c:pt idx="0">
                  <c:v>USAQUÉN</c:v>
                </c:pt>
                <c:pt idx="1">
                  <c:v>CHAPINERO</c:v>
                </c:pt>
                <c:pt idx="2">
                  <c:v>SANTA FE</c:v>
                </c:pt>
                <c:pt idx="3">
                  <c:v>SAN CRISTÓBAL</c:v>
                </c:pt>
                <c:pt idx="4">
                  <c:v>USME</c:v>
                </c:pt>
                <c:pt idx="5">
                  <c:v>TUNJUELITO</c:v>
                </c:pt>
                <c:pt idx="6">
                  <c:v>BOSA</c:v>
                </c:pt>
                <c:pt idx="7">
                  <c:v>KENNEDY</c:v>
                </c:pt>
                <c:pt idx="8">
                  <c:v>FONTIBON</c:v>
                </c:pt>
                <c:pt idx="9">
                  <c:v>ENGATIVA</c:v>
                </c:pt>
                <c:pt idx="10">
                  <c:v>SUBA</c:v>
                </c:pt>
                <c:pt idx="11">
                  <c:v>BARRIOS UNIDOS</c:v>
                </c:pt>
                <c:pt idx="12">
                  <c:v>TEUSAQUILLO</c:v>
                </c:pt>
                <c:pt idx="13">
                  <c:v>LOS MÁRTIRES</c:v>
                </c:pt>
                <c:pt idx="14">
                  <c:v>ANTONIO NARIÑO</c:v>
                </c:pt>
                <c:pt idx="15">
                  <c:v>PUENTE ARANDA</c:v>
                </c:pt>
                <c:pt idx="16">
                  <c:v>RAFAEL URIBE</c:v>
                </c:pt>
                <c:pt idx="17">
                  <c:v>CIUDAD BOLÍVAR</c:v>
                </c:pt>
              </c:strCache>
            </c:strRef>
          </c:cat>
          <c:val>
            <c:numRef>
              <c:f>'Viviendas por localidad'!$D$55:$D$73</c:f>
            </c:numRef>
          </c:val>
          <c:smooth val="0"/>
          <c:extLst>
            <c:ext xmlns:c16="http://schemas.microsoft.com/office/drawing/2014/chart" uri="{C3380CC4-5D6E-409C-BE32-E72D297353CC}">
              <c16:uniqueId val="{00000014-AF11-4238-B18A-F6B7FE95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696512"/>
        <c:axId val="879695968"/>
      </c:lineChart>
      <c:catAx>
        <c:axId val="87969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879695424"/>
        <c:crossesAt val="0"/>
        <c:auto val="0"/>
        <c:lblAlgn val="ctr"/>
        <c:lblOffset val="100"/>
        <c:noMultiLvlLbl val="0"/>
      </c:catAx>
      <c:valAx>
        <c:axId val="879695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Unidades</a:t>
                </a:r>
              </a:p>
            </c:rich>
          </c:tx>
          <c:overlay val="0"/>
        </c:title>
        <c:numFmt formatCode="#,##0;[Red]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879697600"/>
        <c:crosses val="autoZero"/>
        <c:crossBetween val="between"/>
      </c:valAx>
      <c:valAx>
        <c:axId val="87969596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879696512"/>
        <c:crosses val="max"/>
        <c:crossBetween val="between"/>
      </c:valAx>
      <c:catAx>
        <c:axId val="87969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79695968"/>
        <c:crosses val="autoZero"/>
        <c:auto val="0"/>
        <c:lblAlgn val="ctr"/>
        <c:lblOffset val="100"/>
        <c:noMultiLvlLbl val="0"/>
      </c:catAx>
      <c:spPr>
        <a:noFill/>
        <a:ln>
          <a:noFill/>
          <a:prstDash val="sysDot"/>
        </a:ln>
        <a:effectLst/>
        <a:sp3d/>
      </c:spPr>
    </c:plotArea>
    <c:legend>
      <c:legendPos val="b"/>
      <c:layout>
        <c:manualLayout>
          <c:xMode val="edge"/>
          <c:yMode val="edge"/>
          <c:x val="0.10968022008158367"/>
          <c:y val="8.1455764999072089E-2"/>
          <c:w val="0.23613888026854968"/>
          <c:h val="7.71221393104464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w Cen MT" panose="020B0602020104020603" pitchFamily="34" charset="0"/>
        </a:defRPr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3095670259166"/>
          <c:y val="0.13881367323739535"/>
          <c:w val="0.80494918428332229"/>
          <c:h val="0.628122577579955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410223735667895E-3"/>
                  <c:y val="0.14983751308543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2A-44E0-8212-75F0F5352851}"/>
                </c:ext>
              </c:extLst>
            </c:dLbl>
            <c:dLbl>
              <c:idx val="1"/>
              <c:layout>
                <c:manualLayout>
                  <c:x val="1.0416018679388687E-4"/>
                  <c:y val="8.676528150744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2A-44E0-8212-75F0F5352851}"/>
                </c:ext>
              </c:extLst>
            </c:dLbl>
            <c:dLbl>
              <c:idx val="2"/>
              <c:layout>
                <c:manualLayout>
                  <c:x val="-4.6208236695916711E-17"/>
                  <c:y val="8.8541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A-44E0-8212-75F0F5352851}"/>
                </c:ext>
              </c:extLst>
            </c:dLbl>
            <c:dLbl>
              <c:idx val="3"/>
              <c:layout>
                <c:manualLayout>
                  <c:x val="0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2A-44E0-8212-75F0F5352851}"/>
                </c:ext>
              </c:extLst>
            </c:dLbl>
            <c:dLbl>
              <c:idx val="4"/>
              <c:layout>
                <c:manualLayout>
                  <c:x val="-5.3535029339485951E-3"/>
                  <c:y val="8.504938327795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2A-44E0-8212-75F0F5352851}"/>
                </c:ext>
              </c:extLst>
            </c:dLbl>
            <c:dLbl>
              <c:idx val="5"/>
              <c:layout>
                <c:manualLayout>
                  <c:x val="5.0409567815355577E-3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2A-44E0-8212-75F0F5352851}"/>
                </c:ext>
              </c:extLst>
            </c:dLbl>
            <c:dLbl>
              <c:idx val="6"/>
              <c:layout>
                <c:manualLayout>
                  <c:x val="5.4003730308018333E-3"/>
                  <c:y val="8.2430282152230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2-49E7-A61F-7194C1B98985}"/>
                </c:ext>
              </c:extLst>
            </c:dLbl>
            <c:dLbl>
              <c:idx val="7"/>
              <c:layout>
                <c:manualLayout>
                  <c:x val="2.5205388632200563E-3"/>
                  <c:y val="0.1349829762164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A-44E0-8212-75F0F5352851}"/>
                </c:ext>
              </c:extLst>
            </c:dLbl>
            <c:dLbl>
              <c:idx val="8"/>
              <c:layout>
                <c:manualLayout>
                  <c:x val="2.1036637725704616E-3"/>
                  <c:y val="0.10862500568931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9-4714-BB1B-FC809377AF34}"/>
                </c:ext>
              </c:extLst>
            </c:dLbl>
            <c:dLbl>
              <c:idx val="9"/>
              <c:layout>
                <c:manualLayout>
                  <c:x val="2.2078239593643005E-3"/>
                  <c:y val="0.10931500614446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A-44E0-8212-75F0F5352851}"/>
                </c:ext>
              </c:extLst>
            </c:dLbl>
            <c:dLbl>
              <c:idx val="10"/>
              <c:layout>
                <c:manualLayout>
                  <c:x val="1.6984935597513626E-16"/>
                  <c:y val="0.20352254670684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AE-401C-9ED0-C44E2AA678CD}"/>
                </c:ext>
              </c:extLst>
            </c:dLbl>
            <c:dLbl>
              <c:idx val="11"/>
              <c:layout>
                <c:manualLayout>
                  <c:x val="1.0850397790961534E-2"/>
                  <c:y val="8.3424836745926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3F-4379-BA03-1D37B7F671D2}"/>
                </c:ext>
              </c:extLst>
            </c:dLbl>
            <c:dLbl>
              <c:idx val="12"/>
              <c:layout>
                <c:manualLayout>
                  <c:x val="1.1611025171239764E-2"/>
                  <c:y val="0.109769522034113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A-46FC-B807-D0BD9CD02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Variaciones!$A$52:$A$66</c:f>
              <c:numCache>
                <c:formatCode>General</c:formatCod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</c:numCache>
            </c:numRef>
          </c:cat>
          <c:val>
            <c:numRef>
              <c:f>Variaciones!$F$52:$F$66</c:f>
              <c:numCache>
                <c:formatCode>#,##0</c:formatCode>
                <c:ptCount val="15"/>
                <c:pt idx="0">
                  <c:v>16848</c:v>
                </c:pt>
                <c:pt idx="1">
                  <c:v>12374</c:v>
                </c:pt>
                <c:pt idx="2">
                  <c:v>14289</c:v>
                </c:pt>
                <c:pt idx="3">
                  <c:v>15391</c:v>
                </c:pt>
                <c:pt idx="4">
                  <c:v>17457</c:v>
                </c:pt>
                <c:pt idx="5">
                  <c:v>10799</c:v>
                </c:pt>
                <c:pt idx="6">
                  <c:v>18300</c:v>
                </c:pt>
                <c:pt idx="7">
                  <c:v>14688</c:v>
                </c:pt>
                <c:pt idx="8">
                  <c:v>9575</c:v>
                </c:pt>
                <c:pt idx="9">
                  <c:v>10779</c:v>
                </c:pt>
                <c:pt idx="10">
                  <c:v>14935</c:v>
                </c:pt>
                <c:pt idx="11">
                  <c:v>11120</c:v>
                </c:pt>
                <c:pt idx="12">
                  <c:v>12502</c:v>
                </c:pt>
                <c:pt idx="13">
                  <c:v>19898</c:v>
                </c:pt>
                <c:pt idx="14" formatCode="#,##0;[Red]#,##0">
                  <c:v>15589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5-46FA-8068-A5299752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81"/>
        <c:axId val="966403663"/>
        <c:axId val="818206943"/>
      </c:barChart>
      <c:catAx>
        <c:axId val="9664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8206943"/>
        <c:crosses val="autoZero"/>
        <c:auto val="1"/>
        <c:lblAlgn val="ctr"/>
        <c:lblOffset val="100"/>
        <c:noMultiLvlLbl val="0"/>
      </c:catAx>
      <c:valAx>
        <c:axId val="8182069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64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93625034619569E-2"/>
          <c:y val="4.6093463632177298E-2"/>
          <c:w val="0.89887602739387973"/>
          <c:h val="0.8674378820830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410223735667895E-3"/>
                  <c:y val="0.14983751308543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1-47A6-A2C2-EC8E6C2C3DB7}"/>
                </c:ext>
              </c:extLst>
            </c:dLbl>
            <c:dLbl>
              <c:idx val="1"/>
              <c:layout>
                <c:manualLayout>
                  <c:x val="1.0421126316460416E-4"/>
                  <c:y val="8.1666557598060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1-47A6-A2C2-EC8E6C2C3DB7}"/>
                </c:ext>
              </c:extLst>
            </c:dLbl>
            <c:dLbl>
              <c:idx val="2"/>
              <c:layout>
                <c:manualLayout>
                  <c:x val="-4.6208236695916711E-17"/>
                  <c:y val="8.8541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1-47A6-A2C2-EC8E6C2C3DB7}"/>
                </c:ext>
              </c:extLst>
            </c:dLbl>
            <c:dLbl>
              <c:idx val="3"/>
              <c:layout>
                <c:manualLayout>
                  <c:x val="0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1-47A6-A2C2-EC8E6C2C3DB7}"/>
                </c:ext>
              </c:extLst>
            </c:dLbl>
            <c:dLbl>
              <c:idx val="4"/>
              <c:layout>
                <c:manualLayout>
                  <c:x val="2.5205111867832989E-3"/>
                  <c:y val="8.5049383277957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1-47A6-A2C2-EC8E6C2C3DB7}"/>
                </c:ext>
              </c:extLst>
            </c:dLbl>
            <c:dLbl>
              <c:idx val="5"/>
              <c:layout>
                <c:manualLayout>
                  <c:x val="-2.0832037358786996E-4"/>
                  <c:y val="0.12265167721086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1-47A6-A2C2-EC8E6C2C3DB7}"/>
                </c:ext>
              </c:extLst>
            </c:dLbl>
            <c:dLbl>
              <c:idx val="6"/>
              <c:layout>
                <c:manualLayout>
                  <c:x val="1.5107360425866364E-4"/>
                  <c:y val="8.2430476537253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1-47A6-A2C2-EC8E6C2C3DB7}"/>
                </c:ext>
              </c:extLst>
            </c:dLbl>
            <c:dLbl>
              <c:idx val="7"/>
              <c:layout>
                <c:manualLayout>
                  <c:x val="2.5205111867832989E-3"/>
                  <c:y val="9.5465841336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1-47A6-A2C2-EC8E6C2C3DB7}"/>
                </c:ext>
              </c:extLst>
            </c:dLbl>
            <c:dLbl>
              <c:idx val="8"/>
              <c:layout>
                <c:manualLayout>
                  <c:x val="2.1036637725704616E-3"/>
                  <c:y val="0.10862500568931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1-47A6-A2C2-EC8E6C2C3DB7}"/>
                </c:ext>
              </c:extLst>
            </c:dLbl>
            <c:dLbl>
              <c:idx val="9"/>
              <c:layout>
                <c:manualLayout>
                  <c:x val="-1.3740656945546725E-3"/>
                  <c:y val="8.957570438580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1-47A6-A2C2-EC8E6C2C3DB7}"/>
                </c:ext>
              </c:extLst>
            </c:dLbl>
            <c:dLbl>
              <c:idx val="10"/>
              <c:layout>
                <c:manualLayout>
                  <c:x val="-1.3133193763787595E-16"/>
                  <c:y val="8.1580640978132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55-4A9D-B1BA-BD0D9D73F275}"/>
                </c:ext>
              </c:extLst>
            </c:dLbl>
            <c:dLbl>
              <c:idx val="11"/>
              <c:layout>
                <c:manualLayout>
                  <c:x val="-1.6785099791625607E-4"/>
                  <c:y val="0.16918026184264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87-4282-9E5D-3037C41CB714}"/>
                </c:ext>
              </c:extLst>
            </c:dLbl>
            <c:dLbl>
              <c:idx val="12"/>
              <c:layout>
                <c:manualLayout>
                  <c:x val="-8.3999312061873094E-5"/>
                  <c:y val="0.20469905473230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87-4282-9E5D-3037C41CB714}"/>
                </c:ext>
              </c:extLst>
            </c:dLbl>
            <c:dLbl>
              <c:idx val="13"/>
              <c:layout>
                <c:manualLayout>
                  <c:x val="0"/>
                  <c:y val="-1.0312601755740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C-4A7C-B55A-8F4CA18E80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Variaciones!$A$77:$A$91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2025*</c:v>
                </c:pt>
                <c:pt idx="14">
                  <c:v>2026</c:v>
                </c:pt>
              </c:strCache>
            </c:strRef>
          </c:cat>
          <c:val>
            <c:numRef>
              <c:f>Variaciones!$F$77:$F$91</c:f>
              <c:numCache>
                <c:formatCode>#,##0</c:formatCode>
                <c:ptCount val="15"/>
                <c:pt idx="0">
                  <c:v>29709</c:v>
                </c:pt>
                <c:pt idx="1">
                  <c:v>26710</c:v>
                </c:pt>
                <c:pt idx="2">
                  <c:v>25627</c:v>
                </c:pt>
                <c:pt idx="3">
                  <c:v>31485</c:v>
                </c:pt>
                <c:pt idx="4">
                  <c:v>32099</c:v>
                </c:pt>
                <c:pt idx="5">
                  <c:v>23443</c:v>
                </c:pt>
                <c:pt idx="6">
                  <c:v>27859</c:v>
                </c:pt>
                <c:pt idx="7">
                  <c:v>22871</c:v>
                </c:pt>
                <c:pt idx="8" formatCode="#,##0;[Red]#,##0">
                  <c:v>15346</c:v>
                </c:pt>
                <c:pt idx="9" formatCode="#,##0;[Red]#,##0">
                  <c:v>20654</c:v>
                </c:pt>
                <c:pt idx="10" formatCode="#,##0;[Red]#,##0">
                  <c:v>26012</c:v>
                </c:pt>
                <c:pt idx="11">
                  <c:v>23495</c:v>
                </c:pt>
                <c:pt idx="12">
                  <c:v>22724</c:v>
                </c:pt>
                <c:pt idx="13">
                  <c:v>19898</c:v>
                </c:pt>
                <c:pt idx="14" formatCode="#,##0;[Red]#,##0">
                  <c:v>15589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F1-47A6-A2C2-EC8E6C2C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81"/>
        <c:axId val="966403663"/>
        <c:axId val="818206943"/>
      </c:barChart>
      <c:catAx>
        <c:axId val="9664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818206943"/>
        <c:crosses val="autoZero"/>
        <c:auto val="1"/>
        <c:lblAlgn val="ctr"/>
        <c:lblOffset val="100"/>
        <c:noMultiLvlLbl val="0"/>
      </c:catAx>
      <c:valAx>
        <c:axId val="8182069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9664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Tw Cen MT" panose="020B06020201040206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6175679029888E-2"/>
          <c:y val="5.9708165186508913E-2"/>
          <c:w val="0.8698014873358334"/>
          <c:h val="0.810770875031896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410223735667895E-3"/>
                  <c:y val="0.14983751308543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CA-4FDC-B27F-EB3C3DD75959}"/>
                </c:ext>
              </c:extLst>
            </c:dLbl>
            <c:dLbl>
              <c:idx val="1"/>
              <c:layout>
                <c:manualLayout>
                  <c:x val="1.0416018679388687E-4"/>
                  <c:y val="8.676528150744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CA-4FDC-B27F-EB3C3DD75959}"/>
                </c:ext>
              </c:extLst>
            </c:dLbl>
            <c:dLbl>
              <c:idx val="2"/>
              <c:layout>
                <c:manualLayout>
                  <c:x val="0"/>
                  <c:y val="0.15116387530268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CA-4FDC-B27F-EB3C3DD75959}"/>
                </c:ext>
              </c:extLst>
            </c:dLbl>
            <c:dLbl>
              <c:idx val="3"/>
              <c:layout>
                <c:manualLayout>
                  <c:x val="8.6720867208671688E-3"/>
                  <c:y val="0.15115360261205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A-4FDC-B27F-EB3C3DD75959}"/>
                </c:ext>
              </c:extLst>
            </c:dLbl>
            <c:dLbl>
              <c:idx val="4"/>
              <c:layout>
                <c:manualLayout>
                  <c:x val="5.4866312442651988E-3"/>
                  <c:y val="9.548630301067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CA-4FDC-B27F-EB3C3DD75959}"/>
                </c:ext>
              </c:extLst>
            </c:dLbl>
            <c:dLbl>
              <c:idx val="5"/>
              <c:layout>
                <c:manualLayout>
                  <c:x val="5.0409567815355577E-3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A-4FDC-B27F-EB3C3DD75959}"/>
                </c:ext>
              </c:extLst>
            </c:dLbl>
            <c:dLbl>
              <c:idx val="6"/>
              <c:layout>
                <c:manualLayout>
                  <c:x val="5.4003730308018333E-3"/>
                  <c:y val="8.2430282152230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CA-4FDC-B27F-EB3C3DD75959}"/>
                </c:ext>
              </c:extLst>
            </c:dLbl>
            <c:dLbl>
              <c:idx val="7"/>
              <c:layout>
                <c:manualLayout>
                  <c:x val="2.5205111867832989E-3"/>
                  <c:y val="9.5465841336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A-4FDC-B27F-EB3C3DD75959}"/>
                </c:ext>
              </c:extLst>
            </c:dLbl>
            <c:dLbl>
              <c:idx val="8"/>
              <c:layout>
                <c:manualLayout>
                  <c:x val="2.1036637725704616E-3"/>
                  <c:y val="0.10862500568931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CA-4FDC-B27F-EB3C3DD75959}"/>
                </c:ext>
              </c:extLst>
            </c:dLbl>
            <c:dLbl>
              <c:idx val="9"/>
              <c:layout>
                <c:manualLayout>
                  <c:x val="2.2078239593643005E-3"/>
                  <c:y val="0.10931500614446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A-4FDC-B27F-EB3C3DD75959}"/>
                </c:ext>
              </c:extLst>
            </c:dLbl>
            <c:dLbl>
              <c:idx val="10"/>
              <c:layout>
                <c:manualLayout>
                  <c:x val="1.6984935597513626E-16"/>
                  <c:y val="0.20352254670684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A-4FDC-B27F-EB3C3DD75959}"/>
                </c:ext>
              </c:extLst>
            </c:dLbl>
            <c:dLbl>
              <c:idx val="11"/>
              <c:layout>
                <c:manualLayout>
                  <c:x val="1.6213080363077996E-2"/>
                  <c:y val="0.18264843935229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27-4C07-BD7C-1872283DD2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Variaciones!$A$29:$A$43</c:f>
              <c:numCache>
                <c:formatCode>General</c:formatCod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</c:numCache>
            </c:numRef>
          </c:cat>
          <c:val>
            <c:numRef>
              <c:f>Variaciones!$F$29:$F$43</c:f>
              <c:numCache>
                <c:formatCode>#,##0</c:formatCode>
                <c:ptCount val="15"/>
                <c:pt idx="0">
                  <c:v>20651</c:v>
                </c:pt>
                <c:pt idx="1">
                  <c:v>25427</c:v>
                </c:pt>
                <c:pt idx="2">
                  <c:v>28625</c:v>
                </c:pt>
                <c:pt idx="3">
                  <c:v>26729</c:v>
                </c:pt>
                <c:pt idx="4">
                  <c:v>33551</c:v>
                </c:pt>
                <c:pt idx="5">
                  <c:v>25441</c:v>
                </c:pt>
                <c:pt idx="6">
                  <c:v>30944</c:v>
                </c:pt>
                <c:pt idx="7">
                  <c:v>24247</c:v>
                </c:pt>
                <c:pt idx="8">
                  <c:v>17758</c:v>
                </c:pt>
                <c:pt idx="9">
                  <c:v>16550</c:v>
                </c:pt>
                <c:pt idx="10">
                  <c:v>24810</c:v>
                </c:pt>
                <c:pt idx="11">
                  <c:v>22197</c:v>
                </c:pt>
                <c:pt idx="12">
                  <c:v>24877</c:v>
                </c:pt>
                <c:pt idx="13">
                  <c:v>30120</c:v>
                </c:pt>
                <c:pt idx="14" formatCode="#,##0;[Red]#,##0">
                  <c:v>13358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CA-4FDC-B27F-EB3C3DD7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81"/>
        <c:axId val="966403663"/>
        <c:axId val="818206943"/>
      </c:barChart>
      <c:catAx>
        <c:axId val="9664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818206943"/>
        <c:crosses val="autoZero"/>
        <c:auto val="1"/>
        <c:lblAlgn val="ctr"/>
        <c:lblOffset val="100"/>
        <c:noMultiLvlLbl val="0"/>
      </c:catAx>
      <c:valAx>
        <c:axId val="8182069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9664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Tw Cen MT" panose="020B06020201040206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6175679029888E-2"/>
          <c:y val="5.9708165186508913E-2"/>
          <c:w val="0.8698014873358334"/>
          <c:h val="0.810770875031896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410223735667895E-3"/>
                  <c:y val="0.14983751308543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D-45A6-A4E3-EDDD6B90CA4B}"/>
                </c:ext>
              </c:extLst>
            </c:dLbl>
            <c:dLbl>
              <c:idx val="1"/>
              <c:layout>
                <c:manualLayout>
                  <c:x val="1.0413575801255056E-4"/>
                  <c:y val="0.154606048478059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1D-45A6-A4E3-EDDD6B90CA4B}"/>
                </c:ext>
              </c:extLst>
            </c:dLbl>
            <c:dLbl>
              <c:idx val="2"/>
              <c:layout>
                <c:manualLayout>
                  <c:x val="-4.6208236695916711E-17"/>
                  <c:y val="8.8541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1D-45A6-A4E3-EDDD6B90CA4B}"/>
                </c:ext>
              </c:extLst>
            </c:dLbl>
            <c:dLbl>
              <c:idx val="3"/>
              <c:layout>
                <c:manualLayout>
                  <c:x val="0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1D-45A6-A4E3-EDDD6B90CA4B}"/>
                </c:ext>
              </c:extLst>
            </c:dLbl>
            <c:dLbl>
              <c:idx val="4"/>
              <c:layout>
                <c:manualLayout>
                  <c:x val="6.2273548040232517E-3"/>
                  <c:y val="0.137234517719774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1D-45A6-A4E3-EDDD6B90CA4B}"/>
                </c:ext>
              </c:extLst>
            </c:dLbl>
            <c:dLbl>
              <c:idx val="5"/>
              <c:layout>
                <c:manualLayout>
                  <c:x val="5.0409567815355577E-3"/>
                  <c:y val="9.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1D-45A6-A4E3-EDDD6B90CA4B}"/>
                </c:ext>
              </c:extLst>
            </c:dLbl>
            <c:dLbl>
              <c:idx val="6"/>
              <c:layout>
                <c:manualLayout>
                  <c:x val="5.4003730308018333E-3"/>
                  <c:y val="8.2430282152230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1D-45A6-A4E3-EDDD6B90CA4B}"/>
                </c:ext>
              </c:extLst>
            </c:dLbl>
            <c:dLbl>
              <c:idx val="7"/>
              <c:layout>
                <c:manualLayout>
                  <c:x val="2.5205111867832989E-3"/>
                  <c:y val="9.5465841336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1D-45A6-A4E3-EDDD6B90CA4B}"/>
                </c:ext>
              </c:extLst>
            </c:dLbl>
            <c:dLbl>
              <c:idx val="8"/>
              <c:layout>
                <c:manualLayout>
                  <c:x val="2.1036637725704616E-3"/>
                  <c:y val="0.108625005689317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1D-45A6-A4E3-EDDD6B90CA4B}"/>
                </c:ext>
              </c:extLst>
            </c:dLbl>
            <c:dLbl>
              <c:idx val="9"/>
              <c:layout>
                <c:manualLayout>
                  <c:x val="2.2078239593643005E-3"/>
                  <c:y val="0.10931500614446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1D-45A6-A4E3-EDDD6B90CA4B}"/>
                </c:ext>
              </c:extLst>
            </c:dLbl>
            <c:dLbl>
              <c:idx val="10"/>
              <c:layout>
                <c:manualLayout>
                  <c:x val="1.6984935597513626E-16"/>
                  <c:y val="0.20352254670684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1D-45A6-A4E3-EDDD6B90CA4B}"/>
                </c:ext>
              </c:extLst>
            </c:dLbl>
            <c:dLbl>
              <c:idx val="11"/>
              <c:layout>
                <c:manualLayout>
                  <c:x val="-2.3161543375825951E-3"/>
                  <c:y val="0.193085493029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1D-45A6-A4E3-EDDD6B90C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numRef>
              <c:f>Variaciones!$A$7:$A$21</c:f>
              <c:numCache>
                <c:formatCode>General</c:formatCod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</c:numCache>
            </c:numRef>
          </c:cat>
          <c:val>
            <c:numRef>
              <c:f>Variaciones!$F$7:$F$21</c:f>
              <c:numCache>
                <c:formatCode>#,##0;[Red]#,##0</c:formatCode>
                <c:ptCount val="15"/>
                <c:pt idx="0">
                  <c:v>1709</c:v>
                </c:pt>
                <c:pt idx="1">
                  <c:v>3137</c:v>
                </c:pt>
                <c:pt idx="2">
                  <c:v>2183</c:v>
                </c:pt>
                <c:pt idx="3">
                  <c:v>5279</c:v>
                </c:pt>
                <c:pt idx="4">
                  <c:v>2255</c:v>
                </c:pt>
                <c:pt idx="5">
                  <c:v>2200</c:v>
                </c:pt>
                <c:pt idx="6">
                  <c:v>1835</c:v>
                </c:pt>
                <c:pt idx="7">
                  <c:v>2590</c:v>
                </c:pt>
                <c:pt idx="8">
                  <c:v>1576</c:v>
                </c:pt>
                <c:pt idx="9">
                  <c:v>2472</c:v>
                </c:pt>
                <c:pt idx="10">
                  <c:v>2982</c:v>
                </c:pt>
                <c:pt idx="11">
                  <c:v>2553</c:v>
                </c:pt>
                <c:pt idx="12">
                  <c:v>3307</c:v>
                </c:pt>
                <c:pt idx="13">
                  <c:v>7059</c:v>
                </c:pt>
                <c:pt idx="14">
                  <c:v>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1D-45A6-A4E3-EDDD6B90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81"/>
        <c:axId val="966403663"/>
        <c:axId val="818206943"/>
      </c:barChart>
      <c:catAx>
        <c:axId val="96640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818206943"/>
        <c:crosses val="autoZero"/>
        <c:auto val="1"/>
        <c:lblAlgn val="ctr"/>
        <c:lblOffset val="100"/>
        <c:noMultiLvlLbl val="0"/>
      </c:catAx>
      <c:valAx>
        <c:axId val="818206943"/>
        <c:scaling>
          <c:orientation val="minMax"/>
        </c:scaling>
        <c:delete val="0"/>
        <c:axPos val="l"/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s-CO"/>
          </a:p>
        </c:txPr>
        <c:crossAx val="96640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Tw Cen MT" panose="020B06020201040206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435475</xdr:colOff>
      <xdr:row>55</xdr:row>
      <xdr:rowOff>72769</xdr:rowOff>
    </xdr:from>
    <xdr:to>
      <xdr:col>39</xdr:col>
      <xdr:colOff>474903</xdr:colOff>
      <xdr:row>70</xdr:row>
      <xdr:rowOff>256213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272044-6C8C-458D-A37F-05247F8E5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476376</xdr:colOff>
      <xdr:row>28</xdr:row>
      <xdr:rowOff>352617</xdr:rowOff>
    </xdr:from>
    <xdr:to>
      <xdr:col>51</xdr:col>
      <xdr:colOff>404378</xdr:colOff>
      <xdr:row>49</xdr:row>
      <xdr:rowOff>75334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4988DA-CDA5-4B4B-8C3C-8EE296A63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695325</xdr:colOff>
      <xdr:row>1</xdr:row>
      <xdr:rowOff>311676</xdr:rowOff>
    </xdr:from>
    <xdr:to>
      <xdr:col>108</xdr:col>
      <xdr:colOff>611415</xdr:colOff>
      <xdr:row>23</xdr:row>
      <xdr:rowOff>114299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352776</xdr:colOff>
      <xdr:row>54</xdr:row>
      <xdr:rowOff>107950</xdr:rowOff>
    </xdr:from>
    <xdr:to>
      <xdr:col>19</xdr:col>
      <xdr:colOff>209550</xdr:colOff>
      <xdr:row>72</xdr:row>
      <xdr:rowOff>133350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390521</xdr:colOff>
      <xdr:row>50</xdr:row>
      <xdr:rowOff>92075</xdr:rowOff>
    </xdr:from>
    <xdr:to>
      <xdr:col>23</xdr:col>
      <xdr:colOff>204107</xdr:colOff>
      <xdr:row>64</xdr:row>
      <xdr:rowOff>108857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9E6A36-FEF4-4182-9E01-290D81F67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28574</xdr:colOff>
      <xdr:row>72</xdr:row>
      <xdr:rowOff>2381</xdr:rowOff>
    </xdr:from>
    <xdr:to>
      <xdr:col>20</xdr:col>
      <xdr:colOff>571499</xdr:colOff>
      <xdr:row>83</xdr:row>
      <xdr:rowOff>60324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0167E2-EE91-406D-802A-491789171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</xdr:colOff>
      <xdr:row>26</xdr:row>
      <xdr:rowOff>0</xdr:rowOff>
    </xdr:from>
    <xdr:to>
      <xdr:col>18</xdr:col>
      <xdr:colOff>250824</xdr:colOff>
      <xdr:row>36</xdr:row>
      <xdr:rowOff>84137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E6E5EF-AC51-4488-8C58-74CBF262B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</xdr:row>
      <xdr:rowOff>190499</xdr:rowOff>
    </xdr:from>
    <xdr:to>
      <xdr:col>20</xdr:col>
      <xdr:colOff>416718</xdr:colOff>
      <xdr:row>18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AA085A-BEC7-48F0-B6EA-CA9736DC7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0.86333</cdr:x>
      <cdr:y>0.49082</cdr:y>
    </cdr:from>
    <cdr:to>
      <cdr:x>0.96611</cdr:x>
      <cdr:y>0.55928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2253192-7C96-4BB3-B667-C602B52EC788}"/>
            </a:ext>
          </a:extLst>
        </cdr:cNvPr>
        <cdr:cNvSpPr txBox="1"/>
      </cdr:nvSpPr>
      <cdr:spPr>
        <a:xfrm xmlns:a="http://schemas.openxmlformats.org/drawingml/2006/main">
          <a:off x="8391224" y="1546337"/>
          <a:ext cx="998980" cy="215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solidFill>
                <a:schemeClr val="accent2">
                  <a:lumMod val="75000"/>
                </a:schemeClr>
              </a:solidFill>
            </a:rPr>
            <a:t>14.130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0.87853</cdr:x>
      <cdr:y>0.36375</cdr:y>
    </cdr:from>
    <cdr:to>
      <cdr:x>0.98456</cdr:x>
      <cdr:y>0.45521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27C5AC0-C1B9-A158-24FA-DE4E290DA353}"/>
            </a:ext>
          </a:extLst>
        </cdr:cNvPr>
        <cdr:cNvSpPr txBox="1"/>
      </cdr:nvSpPr>
      <cdr:spPr>
        <a:xfrm xmlns:a="http://schemas.openxmlformats.org/drawingml/2006/main">
          <a:off x="6501905" y="887257"/>
          <a:ext cx="784720" cy="223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s-CO" sz="1000" b="1">
              <a:solidFill>
                <a:schemeClr val="accent2">
                  <a:lumMod val="75000"/>
                </a:schemeClr>
              </a:solidFill>
              <a:latin typeface="Tw Cen MT" panose="020B0602020104020603" pitchFamily="34" charset="0"/>
            </a:rPr>
            <a:t>25.233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0.89722</cdr:x>
      <cdr:y>0.32949</cdr:y>
    </cdr:from>
    <cdr:to>
      <cdr:x>1</cdr:x>
      <cdr:y>0.39795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2253192-7C96-4BB3-B667-C602B52EC788}"/>
            </a:ext>
          </a:extLst>
        </cdr:cNvPr>
        <cdr:cNvSpPr txBox="1"/>
      </cdr:nvSpPr>
      <cdr:spPr>
        <a:xfrm xmlns:a="http://schemas.openxmlformats.org/drawingml/2006/main">
          <a:off x="4919661" y="801863"/>
          <a:ext cx="563566" cy="166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solidFill>
                <a:schemeClr val="accent2">
                  <a:lumMod val="75000"/>
                </a:schemeClr>
              </a:solidFill>
            </a:rPr>
            <a:t>24.501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0.89225</cdr:x>
      <cdr:y>0.49851</cdr:y>
    </cdr:from>
    <cdr:to>
      <cdr:x>0.99503</cdr:x>
      <cdr:y>0.56697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2253192-7C96-4BB3-B667-C602B52EC788}"/>
            </a:ext>
          </a:extLst>
        </cdr:cNvPr>
        <cdr:cNvSpPr txBox="1"/>
      </cdr:nvSpPr>
      <cdr:spPr>
        <a:xfrm xmlns:a="http://schemas.openxmlformats.org/drawingml/2006/main">
          <a:off x="5131084" y="1574067"/>
          <a:ext cx="591059" cy="216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1">
              <a:solidFill>
                <a:schemeClr val="accent2">
                  <a:lumMod val="75000"/>
                </a:schemeClr>
              </a:solidFill>
            </a:rPr>
            <a:t>1,584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M11"/>
  <sheetViews>
    <sheetView showGridLines="0" workbookViewId="0">
      <pane xSplit="1" topLeftCell="B1" activePane="topRight" state="frozen"/>
      <selection pane="topRight" activeCell="J10" sqref="A4:J10"/>
    </sheetView>
  </sheetViews>
  <sheetFormatPr baseColWidth="10" defaultRowHeight="13.9"/>
  <cols>
    <col min="1" max="1" width="9.1328125" style="65" customWidth="1"/>
    <col min="2" max="2" width="8.3984375" style="65" customWidth="1"/>
    <col min="3" max="4" width="8.1328125" style="65" customWidth="1"/>
    <col min="5" max="5" width="7.1328125" style="65" customWidth="1"/>
    <col min="6" max="6" width="6.1328125" style="65" customWidth="1"/>
    <col min="7" max="7" width="6.265625" style="64" customWidth="1"/>
    <col min="8" max="8" width="6" style="64" customWidth="1"/>
    <col min="9" max="9" width="6.3984375" style="64" customWidth="1"/>
    <col min="10" max="10" width="5.59765625" style="64" customWidth="1"/>
    <col min="11" max="11" width="9.59765625" style="64" bestFit="1" customWidth="1"/>
    <col min="12" max="12" width="6.73046875" style="64" customWidth="1"/>
    <col min="13" max="13" width="7.86328125" style="64" customWidth="1"/>
    <col min="14" max="256" width="11.3984375" style="64"/>
    <col min="257" max="257" width="26.73046875" style="64" customWidth="1"/>
    <col min="258" max="258" width="8.59765625" style="64" customWidth="1"/>
    <col min="259" max="259" width="8" style="64" customWidth="1"/>
    <col min="260" max="260" width="7.73046875" style="64" customWidth="1"/>
    <col min="261" max="261" width="7.86328125" style="64" customWidth="1"/>
    <col min="262" max="262" width="8.59765625" style="64" customWidth="1"/>
    <col min="263" max="263" width="7.265625" style="64" customWidth="1"/>
    <col min="264" max="264" width="8" style="64" customWidth="1"/>
    <col min="265" max="265" width="9.59765625" style="64" customWidth="1"/>
    <col min="266" max="266" width="7" style="64" customWidth="1"/>
    <col min="267" max="267" width="8.86328125" style="64" customWidth="1"/>
    <col min="268" max="268" width="9.59765625" style="64" customWidth="1"/>
    <col min="269" max="269" width="7.3984375" style="64" customWidth="1"/>
    <col min="270" max="512" width="11.3984375" style="64"/>
    <col min="513" max="513" width="26.73046875" style="64" customWidth="1"/>
    <col min="514" max="514" width="8.59765625" style="64" customWidth="1"/>
    <col min="515" max="515" width="8" style="64" customWidth="1"/>
    <col min="516" max="516" width="7.73046875" style="64" customWidth="1"/>
    <col min="517" max="517" width="7.86328125" style="64" customWidth="1"/>
    <col min="518" max="518" width="8.59765625" style="64" customWidth="1"/>
    <col min="519" max="519" width="7.265625" style="64" customWidth="1"/>
    <col min="520" max="520" width="8" style="64" customWidth="1"/>
    <col min="521" max="521" width="9.59765625" style="64" customWidth="1"/>
    <col min="522" max="522" width="7" style="64" customWidth="1"/>
    <col min="523" max="523" width="8.86328125" style="64" customWidth="1"/>
    <col min="524" max="524" width="9.59765625" style="64" customWidth="1"/>
    <col min="525" max="525" width="7.3984375" style="64" customWidth="1"/>
    <col min="526" max="768" width="11.3984375" style="64"/>
    <col min="769" max="769" width="26.73046875" style="64" customWidth="1"/>
    <col min="770" max="770" width="8.59765625" style="64" customWidth="1"/>
    <col min="771" max="771" width="8" style="64" customWidth="1"/>
    <col min="772" max="772" width="7.73046875" style="64" customWidth="1"/>
    <col min="773" max="773" width="7.86328125" style="64" customWidth="1"/>
    <col min="774" max="774" width="8.59765625" style="64" customWidth="1"/>
    <col min="775" max="775" width="7.265625" style="64" customWidth="1"/>
    <col min="776" max="776" width="8" style="64" customWidth="1"/>
    <col min="777" max="777" width="9.59765625" style="64" customWidth="1"/>
    <col min="778" max="778" width="7" style="64" customWidth="1"/>
    <col min="779" max="779" width="8.86328125" style="64" customWidth="1"/>
    <col min="780" max="780" width="9.59765625" style="64" customWidth="1"/>
    <col min="781" max="781" width="7.3984375" style="64" customWidth="1"/>
    <col min="782" max="1024" width="11.3984375" style="64"/>
    <col min="1025" max="1025" width="26.73046875" style="64" customWidth="1"/>
    <col min="1026" max="1026" width="8.59765625" style="64" customWidth="1"/>
    <col min="1027" max="1027" width="8" style="64" customWidth="1"/>
    <col min="1028" max="1028" width="7.73046875" style="64" customWidth="1"/>
    <col min="1029" max="1029" width="7.86328125" style="64" customWidth="1"/>
    <col min="1030" max="1030" width="8.59765625" style="64" customWidth="1"/>
    <col min="1031" max="1031" width="7.265625" style="64" customWidth="1"/>
    <col min="1032" max="1032" width="8" style="64" customWidth="1"/>
    <col min="1033" max="1033" width="9.59765625" style="64" customWidth="1"/>
    <col min="1034" max="1034" width="7" style="64" customWidth="1"/>
    <col min="1035" max="1035" width="8.86328125" style="64" customWidth="1"/>
    <col min="1036" max="1036" width="9.59765625" style="64" customWidth="1"/>
    <col min="1037" max="1037" width="7.3984375" style="64" customWidth="1"/>
    <col min="1038" max="1280" width="11.3984375" style="64"/>
    <col min="1281" max="1281" width="26.73046875" style="64" customWidth="1"/>
    <col min="1282" max="1282" width="8.59765625" style="64" customWidth="1"/>
    <col min="1283" max="1283" width="8" style="64" customWidth="1"/>
    <col min="1284" max="1284" width="7.73046875" style="64" customWidth="1"/>
    <col min="1285" max="1285" width="7.86328125" style="64" customWidth="1"/>
    <col min="1286" max="1286" width="8.59765625" style="64" customWidth="1"/>
    <col min="1287" max="1287" width="7.265625" style="64" customWidth="1"/>
    <col min="1288" max="1288" width="8" style="64" customWidth="1"/>
    <col min="1289" max="1289" width="9.59765625" style="64" customWidth="1"/>
    <col min="1290" max="1290" width="7" style="64" customWidth="1"/>
    <col min="1291" max="1291" width="8.86328125" style="64" customWidth="1"/>
    <col min="1292" max="1292" width="9.59765625" style="64" customWidth="1"/>
    <col min="1293" max="1293" width="7.3984375" style="64" customWidth="1"/>
    <col min="1294" max="1536" width="11.3984375" style="64"/>
    <col min="1537" max="1537" width="26.73046875" style="64" customWidth="1"/>
    <col min="1538" max="1538" width="8.59765625" style="64" customWidth="1"/>
    <col min="1539" max="1539" width="8" style="64" customWidth="1"/>
    <col min="1540" max="1540" width="7.73046875" style="64" customWidth="1"/>
    <col min="1541" max="1541" width="7.86328125" style="64" customWidth="1"/>
    <col min="1542" max="1542" width="8.59765625" style="64" customWidth="1"/>
    <col min="1543" max="1543" width="7.265625" style="64" customWidth="1"/>
    <col min="1544" max="1544" width="8" style="64" customWidth="1"/>
    <col min="1545" max="1545" width="9.59765625" style="64" customWidth="1"/>
    <col min="1546" max="1546" width="7" style="64" customWidth="1"/>
    <col min="1547" max="1547" width="8.86328125" style="64" customWidth="1"/>
    <col min="1548" max="1548" width="9.59765625" style="64" customWidth="1"/>
    <col min="1549" max="1549" width="7.3984375" style="64" customWidth="1"/>
    <col min="1550" max="1792" width="11.3984375" style="64"/>
    <col min="1793" max="1793" width="26.73046875" style="64" customWidth="1"/>
    <col min="1794" max="1794" width="8.59765625" style="64" customWidth="1"/>
    <col min="1795" max="1795" width="8" style="64" customWidth="1"/>
    <col min="1796" max="1796" width="7.73046875" style="64" customWidth="1"/>
    <col min="1797" max="1797" width="7.86328125" style="64" customWidth="1"/>
    <col min="1798" max="1798" width="8.59765625" style="64" customWidth="1"/>
    <col min="1799" max="1799" width="7.265625" style="64" customWidth="1"/>
    <col min="1800" max="1800" width="8" style="64" customWidth="1"/>
    <col min="1801" max="1801" width="9.59765625" style="64" customWidth="1"/>
    <col min="1802" max="1802" width="7" style="64" customWidth="1"/>
    <col min="1803" max="1803" width="8.86328125" style="64" customWidth="1"/>
    <col min="1804" max="1804" width="9.59765625" style="64" customWidth="1"/>
    <col min="1805" max="1805" width="7.3984375" style="64" customWidth="1"/>
    <col min="1806" max="2048" width="11.3984375" style="64"/>
    <col min="2049" max="2049" width="26.73046875" style="64" customWidth="1"/>
    <col min="2050" max="2050" width="8.59765625" style="64" customWidth="1"/>
    <col min="2051" max="2051" width="8" style="64" customWidth="1"/>
    <col min="2052" max="2052" width="7.73046875" style="64" customWidth="1"/>
    <col min="2053" max="2053" width="7.86328125" style="64" customWidth="1"/>
    <col min="2054" max="2054" width="8.59765625" style="64" customWidth="1"/>
    <col min="2055" max="2055" width="7.265625" style="64" customWidth="1"/>
    <col min="2056" max="2056" width="8" style="64" customWidth="1"/>
    <col min="2057" max="2057" width="9.59765625" style="64" customWidth="1"/>
    <col min="2058" max="2058" width="7" style="64" customWidth="1"/>
    <col min="2059" max="2059" width="8.86328125" style="64" customWidth="1"/>
    <col min="2060" max="2060" width="9.59765625" style="64" customWidth="1"/>
    <col min="2061" max="2061" width="7.3984375" style="64" customWidth="1"/>
    <col min="2062" max="2304" width="11.3984375" style="64"/>
    <col min="2305" max="2305" width="26.73046875" style="64" customWidth="1"/>
    <col min="2306" max="2306" width="8.59765625" style="64" customWidth="1"/>
    <col min="2307" max="2307" width="8" style="64" customWidth="1"/>
    <col min="2308" max="2308" width="7.73046875" style="64" customWidth="1"/>
    <col min="2309" max="2309" width="7.86328125" style="64" customWidth="1"/>
    <col min="2310" max="2310" width="8.59765625" style="64" customWidth="1"/>
    <col min="2311" max="2311" width="7.265625" style="64" customWidth="1"/>
    <col min="2312" max="2312" width="8" style="64" customWidth="1"/>
    <col min="2313" max="2313" width="9.59765625" style="64" customWidth="1"/>
    <col min="2314" max="2314" width="7" style="64" customWidth="1"/>
    <col min="2315" max="2315" width="8.86328125" style="64" customWidth="1"/>
    <col min="2316" max="2316" width="9.59765625" style="64" customWidth="1"/>
    <col min="2317" max="2317" width="7.3984375" style="64" customWidth="1"/>
    <col min="2318" max="2560" width="11.3984375" style="64"/>
    <col min="2561" max="2561" width="26.73046875" style="64" customWidth="1"/>
    <col min="2562" max="2562" width="8.59765625" style="64" customWidth="1"/>
    <col min="2563" max="2563" width="8" style="64" customWidth="1"/>
    <col min="2564" max="2564" width="7.73046875" style="64" customWidth="1"/>
    <col min="2565" max="2565" width="7.86328125" style="64" customWidth="1"/>
    <col min="2566" max="2566" width="8.59765625" style="64" customWidth="1"/>
    <col min="2567" max="2567" width="7.265625" style="64" customWidth="1"/>
    <col min="2568" max="2568" width="8" style="64" customWidth="1"/>
    <col min="2569" max="2569" width="9.59765625" style="64" customWidth="1"/>
    <col min="2570" max="2570" width="7" style="64" customWidth="1"/>
    <col min="2571" max="2571" width="8.86328125" style="64" customWidth="1"/>
    <col min="2572" max="2572" width="9.59765625" style="64" customWidth="1"/>
    <col min="2573" max="2573" width="7.3984375" style="64" customWidth="1"/>
    <col min="2574" max="2816" width="11.3984375" style="64"/>
    <col min="2817" max="2817" width="26.73046875" style="64" customWidth="1"/>
    <col min="2818" max="2818" width="8.59765625" style="64" customWidth="1"/>
    <col min="2819" max="2819" width="8" style="64" customWidth="1"/>
    <col min="2820" max="2820" width="7.73046875" style="64" customWidth="1"/>
    <col min="2821" max="2821" width="7.86328125" style="64" customWidth="1"/>
    <col min="2822" max="2822" width="8.59765625" style="64" customWidth="1"/>
    <col min="2823" max="2823" width="7.265625" style="64" customWidth="1"/>
    <col min="2824" max="2824" width="8" style="64" customWidth="1"/>
    <col min="2825" max="2825" width="9.59765625" style="64" customWidth="1"/>
    <col min="2826" max="2826" width="7" style="64" customWidth="1"/>
    <col min="2827" max="2827" width="8.86328125" style="64" customWidth="1"/>
    <col min="2828" max="2828" width="9.59765625" style="64" customWidth="1"/>
    <col min="2829" max="2829" width="7.3984375" style="64" customWidth="1"/>
    <col min="2830" max="3072" width="11.3984375" style="64"/>
    <col min="3073" max="3073" width="26.73046875" style="64" customWidth="1"/>
    <col min="3074" max="3074" width="8.59765625" style="64" customWidth="1"/>
    <col min="3075" max="3075" width="8" style="64" customWidth="1"/>
    <col min="3076" max="3076" width="7.73046875" style="64" customWidth="1"/>
    <col min="3077" max="3077" width="7.86328125" style="64" customWidth="1"/>
    <col min="3078" max="3078" width="8.59765625" style="64" customWidth="1"/>
    <col min="3079" max="3079" width="7.265625" style="64" customWidth="1"/>
    <col min="3080" max="3080" width="8" style="64" customWidth="1"/>
    <col min="3081" max="3081" width="9.59765625" style="64" customWidth="1"/>
    <col min="3082" max="3082" width="7" style="64" customWidth="1"/>
    <col min="3083" max="3083" width="8.86328125" style="64" customWidth="1"/>
    <col min="3084" max="3084" width="9.59765625" style="64" customWidth="1"/>
    <col min="3085" max="3085" width="7.3984375" style="64" customWidth="1"/>
    <col min="3086" max="3328" width="11.3984375" style="64"/>
    <col min="3329" max="3329" width="26.73046875" style="64" customWidth="1"/>
    <col min="3330" max="3330" width="8.59765625" style="64" customWidth="1"/>
    <col min="3331" max="3331" width="8" style="64" customWidth="1"/>
    <col min="3332" max="3332" width="7.73046875" style="64" customWidth="1"/>
    <col min="3333" max="3333" width="7.86328125" style="64" customWidth="1"/>
    <col min="3334" max="3334" width="8.59765625" style="64" customWidth="1"/>
    <col min="3335" max="3335" width="7.265625" style="64" customWidth="1"/>
    <col min="3336" max="3336" width="8" style="64" customWidth="1"/>
    <col min="3337" max="3337" width="9.59765625" style="64" customWidth="1"/>
    <col min="3338" max="3338" width="7" style="64" customWidth="1"/>
    <col min="3339" max="3339" width="8.86328125" style="64" customWidth="1"/>
    <col min="3340" max="3340" width="9.59765625" style="64" customWidth="1"/>
    <col min="3341" max="3341" width="7.3984375" style="64" customWidth="1"/>
    <col min="3342" max="3584" width="11.3984375" style="64"/>
    <col min="3585" max="3585" width="26.73046875" style="64" customWidth="1"/>
    <col min="3586" max="3586" width="8.59765625" style="64" customWidth="1"/>
    <col min="3587" max="3587" width="8" style="64" customWidth="1"/>
    <col min="3588" max="3588" width="7.73046875" style="64" customWidth="1"/>
    <col min="3589" max="3589" width="7.86328125" style="64" customWidth="1"/>
    <col min="3590" max="3590" width="8.59765625" style="64" customWidth="1"/>
    <col min="3591" max="3591" width="7.265625" style="64" customWidth="1"/>
    <col min="3592" max="3592" width="8" style="64" customWidth="1"/>
    <col min="3593" max="3593" width="9.59765625" style="64" customWidth="1"/>
    <col min="3594" max="3594" width="7" style="64" customWidth="1"/>
    <col min="3595" max="3595" width="8.86328125" style="64" customWidth="1"/>
    <col min="3596" max="3596" width="9.59765625" style="64" customWidth="1"/>
    <col min="3597" max="3597" width="7.3984375" style="64" customWidth="1"/>
    <col min="3598" max="3840" width="11.3984375" style="64"/>
    <col min="3841" max="3841" width="26.73046875" style="64" customWidth="1"/>
    <col min="3842" max="3842" width="8.59765625" style="64" customWidth="1"/>
    <col min="3843" max="3843" width="8" style="64" customWidth="1"/>
    <col min="3844" max="3844" width="7.73046875" style="64" customWidth="1"/>
    <col min="3845" max="3845" width="7.86328125" style="64" customWidth="1"/>
    <col min="3846" max="3846" width="8.59765625" style="64" customWidth="1"/>
    <col min="3847" max="3847" width="7.265625" style="64" customWidth="1"/>
    <col min="3848" max="3848" width="8" style="64" customWidth="1"/>
    <col min="3849" max="3849" width="9.59765625" style="64" customWidth="1"/>
    <col min="3850" max="3850" width="7" style="64" customWidth="1"/>
    <col min="3851" max="3851" width="8.86328125" style="64" customWidth="1"/>
    <col min="3852" max="3852" width="9.59765625" style="64" customWidth="1"/>
    <col min="3853" max="3853" width="7.3984375" style="64" customWidth="1"/>
    <col min="3854" max="4096" width="11.3984375" style="64"/>
    <col min="4097" max="4097" width="26.73046875" style="64" customWidth="1"/>
    <col min="4098" max="4098" width="8.59765625" style="64" customWidth="1"/>
    <col min="4099" max="4099" width="8" style="64" customWidth="1"/>
    <col min="4100" max="4100" width="7.73046875" style="64" customWidth="1"/>
    <col min="4101" max="4101" width="7.86328125" style="64" customWidth="1"/>
    <col min="4102" max="4102" width="8.59765625" style="64" customWidth="1"/>
    <col min="4103" max="4103" width="7.265625" style="64" customWidth="1"/>
    <col min="4104" max="4104" width="8" style="64" customWidth="1"/>
    <col min="4105" max="4105" width="9.59765625" style="64" customWidth="1"/>
    <col min="4106" max="4106" width="7" style="64" customWidth="1"/>
    <col min="4107" max="4107" width="8.86328125" style="64" customWidth="1"/>
    <col min="4108" max="4108" width="9.59765625" style="64" customWidth="1"/>
    <col min="4109" max="4109" width="7.3984375" style="64" customWidth="1"/>
    <col min="4110" max="4352" width="11.3984375" style="64"/>
    <col min="4353" max="4353" width="26.73046875" style="64" customWidth="1"/>
    <col min="4354" max="4354" width="8.59765625" style="64" customWidth="1"/>
    <col min="4355" max="4355" width="8" style="64" customWidth="1"/>
    <col min="4356" max="4356" width="7.73046875" style="64" customWidth="1"/>
    <col min="4357" max="4357" width="7.86328125" style="64" customWidth="1"/>
    <col min="4358" max="4358" width="8.59765625" style="64" customWidth="1"/>
    <col min="4359" max="4359" width="7.265625" style="64" customWidth="1"/>
    <col min="4360" max="4360" width="8" style="64" customWidth="1"/>
    <col min="4361" max="4361" width="9.59765625" style="64" customWidth="1"/>
    <col min="4362" max="4362" width="7" style="64" customWidth="1"/>
    <col min="4363" max="4363" width="8.86328125" style="64" customWidth="1"/>
    <col min="4364" max="4364" width="9.59765625" style="64" customWidth="1"/>
    <col min="4365" max="4365" width="7.3984375" style="64" customWidth="1"/>
    <col min="4366" max="4608" width="11.3984375" style="64"/>
    <col min="4609" max="4609" width="26.73046875" style="64" customWidth="1"/>
    <col min="4610" max="4610" width="8.59765625" style="64" customWidth="1"/>
    <col min="4611" max="4611" width="8" style="64" customWidth="1"/>
    <col min="4612" max="4612" width="7.73046875" style="64" customWidth="1"/>
    <col min="4613" max="4613" width="7.86328125" style="64" customWidth="1"/>
    <col min="4614" max="4614" width="8.59765625" style="64" customWidth="1"/>
    <col min="4615" max="4615" width="7.265625" style="64" customWidth="1"/>
    <col min="4616" max="4616" width="8" style="64" customWidth="1"/>
    <col min="4617" max="4617" width="9.59765625" style="64" customWidth="1"/>
    <col min="4618" max="4618" width="7" style="64" customWidth="1"/>
    <col min="4619" max="4619" width="8.86328125" style="64" customWidth="1"/>
    <col min="4620" max="4620" width="9.59765625" style="64" customWidth="1"/>
    <col min="4621" max="4621" width="7.3984375" style="64" customWidth="1"/>
    <col min="4622" max="4864" width="11.3984375" style="64"/>
    <col min="4865" max="4865" width="26.73046875" style="64" customWidth="1"/>
    <col min="4866" max="4866" width="8.59765625" style="64" customWidth="1"/>
    <col min="4867" max="4867" width="8" style="64" customWidth="1"/>
    <col min="4868" max="4868" width="7.73046875" style="64" customWidth="1"/>
    <col min="4869" max="4869" width="7.86328125" style="64" customWidth="1"/>
    <col min="4870" max="4870" width="8.59765625" style="64" customWidth="1"/>
    <col min="4871" max="4871" width="7.265625" style="64" customWidth="1"/>
    <col min="4872" max="4872" width="8" style="64" customWidth="1"/>
    <col min="4873" max="4873" width="9.59765625" style="64" customWidth="1"/>
    <col min="4874" max="4874" width="7" style="64" customWidth="1"/>
    <col min="4875" max="4875" width="8.86328125" style="64" customWidth="1"/>
    <col min="4876" max="4876" width="9.59765625" style="64" customWidth="1"/>
    <col min="4877" max="4877" width="7.3984375" style="64" customWidth="1"/>
    <col min="4878" max="5120" width="11.3984375" style="64"/>
    <col min="5121" max="5121" width="26.73046875" style="64" customWidth="1"/>
    <col min="5122" max="5122" width="8.59765625" style="64" customWidth="1"/>
    <col min="5123" max="5123" width="8" style="64" customWidth="1"/>
    <col min="5124" max="5124" width="7.73046875" style="64" customWidth="1"/>
    <col min="5125" max="5125" width="7.86328125" style="64" customWidth="1"/>
    <col min="5126" max="5126" width="8.59765625" style="64" customWidth="1"/>
    <col min="5127" max="5127" width="7.265625" style="64" customWidth="1"/>
    <col min="5128" max="5128" width="8" style="64" customWidth="1"/>
    <col min="5129" max="5129" width="9.59765625" style="64" customWidth="1"/>
    <col min="5130" max="5130" width="7" style="64" customWidth="1"/>
    <col min="5131" max="5131" width="8.86328125" style="64" customWidth="1"/>
    <col min="5132" max="5132" width="9.59765625" style="64" customWidth="1"/>
    <col min="5133" max="5133" width="7.3984375" style="64" customWidth="1"/>
    <col min="5134" max="5376" width="11.3984375" style="64"/>
    <col min="5377" max="5377" width="26.73046875" style="64" customWidth="1"/>
    <col min="5378" max="5378" width="8.59765625" style="64" customWidth="1"/>
    <col min="5379" max="5379" width="8" style="64" customWidth="1"/>
    <col min="5380" max="5380" width="7.73046875" style="64" customWidth="1"/>
    <col min="5381" max="5381" width="7.86328125" style="64" customWidth="1"/>
    <col min="5382" max="5382" width="8.59765625" style="64" customWidth="1"/>
    <col min="5383" max="5383" width="7.265625" style="64" customWidth="1"/>
    <col min="5384" max="5384" width="8" style="64" customWidth="1"/>
    <col min="5385" max="5385" width="9.59765625" style="64" customWidth="1"/>
    <col min="5386" max="5386" width="7" style="64" customWidth="1"/>
    <col min="5387" max="5387" width="8.86328125" style="64" customWidth="1"/>
    <col min="5388" max="5388" width="9.59765625" style="64" customWidth="1"/>
    <col min="5389" max="5389" width="7.3984375" style="64" customWidth="1"/>
    <col min="5390" max="5632" width="11.3984375" style="64"/>
    <col min="5633" max="5633" width="26.73046875" style="64" customWidth="1"/>
    <col min="5634" max="5634" width="8.59765625" style="64" customWidth="1"/>
    <col min="5635" max="5635" width="8" style="64" customWidth="1"/>
    <col min="5636" max="5636" width="7.73046875" style="64" customWidth="1"/>
    <col min="5637" max="5637" width="7.86328125" style="64" customWidth="1"/>
    <col min="5638" max="5638" width="8.59765625" style="64" customWidth="1"/>
    <col min="5639" max="5639" width="7.265625" style="64" customWidth="1"/>
    <col min="5640" max="5640" width="8" style="64" customWidth="1"/>
    <col min="5641" max="5641" width="9.59765625" style="64" customWidth="1"/>
    <col min="5642" max="5642" width="7" style="64" customWidth="1"/>
    <col min="5643" max="5643" width="8.86328125" style="64" customWidth="1"/>
    <col min="5644" max="5644" width="9.59765625" style="64" customWidth="1"/>
    <col min="5645" max="5645" width="7.3984375" style="64" customWidth="1"/>
    <col min="5646" max="5888" width="11.3984375" style="64"/>
    <col min="5889" max="5889" width="26.73046875" style="64" customWidth="1"/>
    <col min="5890" max="5890" width="8.59765625" style="64" customWidth="1"/>
    <col min="5891" max="5891" width="8" style="64" customWidth="1"/>
    <col min="5892" max="5892" width="7.73046875" style="64" customWidth="1"/>
    <col min="5893" max="5893" width="7.86328125" style="64" customWidth="1"/>
    <col min="5894" max="5894" width="8.59765625" style="64" customWidth="1"/>
    <col min="5895" max="5895" width="7.265625" style="64" customWidth="1"/>
    <col min="5896" max="5896" width="8" style="64" customWidth="1"/>
    <col min="5897" max="5897" width="9.59765625" style="64" customWidth="1"/>
    <col min="5898" max="5898" width="7" style="64" customWidth="1"/>
    <col min="5899" max="5899" width="8.86328125" style="64" customWidth="1"/>
    <col min="5900" max="5900" width="9.59765625" style="64" customWidth="1"/>
    <col min="5901" max="5901" width="7.3984375" style="64" customWidth="1"/>
    <col min="5902" max="6144" width="11.3984375" style="64"/>
    <col min="6145" max="6145" width="26.73046875" style="64" customWidth="1"/>
    <col min="6146" max="6146" width="8.59765625" style="64" customWidth="1"/>
    <col min="6147" max="6147" width="8" style="64" customWidth="1"/>
    <col min="6148" max="6148" width="7.73046875" style="64" customWidth="1"/>
    <col min="6149" max="6149" width="7.86328125" style="64" customWidth="1"/>
    <col min="6150" max="6150" width="8.59765625" style="64" customWidth="1"/>
    <col min="6151" max="6151" width="7.265625" style="64" customWidth="1"/>
    <col min="6152" max="6152" width="8" style="64" customWidth="1"/>
    <col min="6153" max="6153" width="9.59765625" style="64" customWidth="1"/>
    <col min="6154" max="6154" width="7" style="64" customWidth="1"/>
    <col min="6155" max="6155" width="8.86328125" style="64" customWidth="1"/>
    <col min="6156" max="6156" width="9.59765625" style="64" customWidth="1"/>
    <col min="6157" max="6157" width="7.3984375" style="64" customWidth="1"/>
    <col min="6158" max="6400" width="11.3984375" style="64"/>
    <col min="6401" max="6401" width="26.73046875" style="64" customWidth="1"/>
    <col min="6402" max="6402" width="8.59765625" style="64" customWidth="1"/>
    <col min="6403" max="6403" width="8" style="64" customWidth="1"/>
    <col min="6404" max="6404" width="7.73046875" style="64" customWidth="1"/>
    <col min="6405" max="6405" width="7.86328125" style="64" customWidth="1"/>
    <col min="6406" max="6406" width="8.59765625" style="64" customWidth="1"/>
    <col min="6407" max="6407" width="7.265625" style="64" customWidth="1"/>
    <col min="6408" max="6408" width="8" style="64" customWidth="1"/>
    <col min="6409" max="6409" width="9.59765625" style="64" customWidth="1"/>
    <col min="6410" max="6410" width="7" style="64" customWidth="1"/>
    <col min="6411" max="6411" width="8.86328125" style="64" customWidth="1"/>
    <col min="6412" max="6412" width="9.59765625" style="64" customWidth="1"/>
    <col min="6413" max="6413" width="7.3984375" style="64" customWidth="1"/>
    <col min="6414" max="6656" width="11.3984375" style="64"/>
    <col min="6657" max="6657" width="26.73046875" style="64" customWidth="1"/>
    <col min="6658" max="6658" width="8.59765625" style="64" customWidth="1"/>
    <col min="6659" max="6659" width="8" style="64" customWidth="1"/>
    <col min="6660" max="6660" width="7.73046875" style="64" customWidth="1"/>
    <col min="6661" max="6661" width="7.86328125" style="64" customWidth="1"/>
    <col min="6662" max="6662" width="8.59765625" style="64" customWidth="1"/>
    <col min="6663" max="6663" width="7.265625" style="64" customWidth="1"/>
    <col min="6664" max="6664" width="8" style="64" customWidth="1"/>
    <col min="6665" max="6665" width="9.59765625" style="64" customWidth="1"/>
    <col min="6666" max="6666" width="7" style="64" customWidth="1"/>
    <col min="6667" max="6667" width="8.86328125" style="64" customWidth="1"/>
    <col min="6668" max="6668" width="9.59765625" style="64" customWidth="1"/>
    <col min="6669" max="6669" width="7.3984375" style="64" customWidth="1"/>
    <col min="6670" max="6912" width="11.3984375" style="64"/>
    <col min="6913" max="6913" width="26.73046875" style="64" customWidth="1"/>
    <col min="6914" max="6914" width="8.59765625" style="64" customWidth="1"/>
    <col min="6915" max="6915" width="8" style="64" customWidth="1"/>
    <col min="6916" max="6916" width="7.73046875" style="64" customWidth="1"/>
    <col min="6917" max="6917" width="7.86328125" style="64" customWidth="1"/>
    <col min="6918" max="6918" width="8.59765625" style="64" customWidth="1"/>
    <col min="6919" max="6919" width="7.265625" style="64" customWidth="1"/>
    <col min="6920" max="6920" width="8" style="64" customWidth="1"/>
    <col min="6921" max="6921" width="9.59765625" style="64" customWidth="1"/>
    <col min="6922" max="6922" width="7" style="64" customWidth="1"/>
    <col min="6923" max="6923" width="8.86328125" style="64" customWidth="1"/>
    <col min="6924" max="6924" width="9.59765625" style="64" customWidth="1"/>
    <col min="6925" max="6925" width="7.3984375" style="64" customWidth="1"/>
    <col min="6926" max="7168" width="11.3984375" style="64"/>
    <col min="7169" max="7169" width="26.73046875" style="64" customWidth="1"/>
    <col min="7170" max="7170" width="8.59765625" style="64" customWidth="1"/>
    <col min="7171" max="7171" width="8" style="64" customWidth="1"/>
    <col min="7172" max="7172" width="7.73046875" style="64" customWidth="1"/>
    <col min="7173" max="7173" width="7.86328125" style="64" customWidth="1"/>
    <col min="7174" max="7174" width="8.59765625" style="64" customWidth="1"/>
    <col min="7175" max="7175" width="7.265625" style="64" customWidth="1"/>
    <col min="7176" max="7176" width="8" style="64" customWidth="1"/>
    <col min="7177" max="7177" width="9.59765625" style="64" customWidth="1"/>
    <col min="7178" max="7178" width="7" style="64" customWidth="1"/>
    <col min="7179" max="7179" width="8.86328125" style="64" customWidth="1"/>
    <col min="7180" max="7180" width="9.59765625" style="64" customWidth="1"/>
    <col min="7181" max="7181" width="7.3984375" style="64" customWidth="1"/>
    <col min="7182" max="7424" width="11.3984375" style="64"/>
    <col min="7425" max="7425" width="26.73046875" style="64" customWidth="1"/>
    <col min="7426" max="7426" width="8.59765625" style="64" customWidth="1"/>
    <col min="7427" max="7427" width="8" style="64" customWidth="1"/>
    <col min="7428" max="7428" width="7.73046875" style="64" customWidth="1"/>
    <col min="7429" max="7429" width="7.86328125" style="64" customWidth="1"/>
    <col min="7430" max="7430" width="8.59765625" style="64" customWidth="1"/>
    <col min="7431" max="7431" width="7.265625" style="64" customWidth="1"/>
    <col min="7432" max="7432" width="8" style="64" customWidth="1"/>
    <col min="7433" max="7433" width="9.59765625" style="64" customWidth="1"/>
    <col min="7434" max="7434" width="7" style="64" customWidth="1"/>
    <col min="7435" max="7435" width="8.86328125" style="64" customWidth="1"/>
    <col min="7436" max="7436" width="9.59765625" style="64" customWidth="1"/>
    <col min="7437" max="7437" width="7.3984375" style="64" customWidth="1"/>
    <col min="7438" max="7680" width="11.3984375" style="64"/>
    <col min="7681" max="7681" width="26.73046875" style="64" customWidth="1"/>
    <col min="7682" max="7682" width="8.59765625" style="64" customWidth="1"/>
    <col min="7683" max="7683" width="8" style="64" customWidth="1"/>
    <col min="7684" max="7684" width="7.73046875" style="64" customWidth="1"/>
    <col min="7685" max="7685" width="7.86328125" style="64" customWidth="1"/>
    <col min="7686" max="7686" width="8.59765625" style="64" customWidth="1"/>
    <col min="7687" max="7687" width="7.265625" style="64" customWidth="1"/>
    <col min="7688" max="7688" width="8" style="64" customWidth="1"/>
    <col min="7689" max="7689" width="9.59765625" style="64" customWidth="1"/>
    <col min="7690" max="7690" width="7" style="64" customWidth="1"/>
    <col min="7691" max="7691" width="8.86328125" style="64" customWidth="1"/>
    <col min="7692" max="7692" width="9.59765625" style="64" customWidth="1"/>
    <col min="7693" max="7693" width="7.3984375" style="64" customWidth="1"/>
    <col min="7694" max="7936" width="11.3984375" style="64"/>
    <col min="7937" max="7937" width="26.73046875" style="64" customWidth="1"/>
    <col min="7938" max="7938" width="8.59765625" style="64" customWidth="1"/>
    <col min="7939" max="7939" width="8" style="64" customWidth="1"/>
    <col min="7940" max="7940" width="7.73046875" style="64" customWidth="1"/>
    <col min="7941" max="7941" width="7.86328125" style="64" customWidth="1"/>
    <col min="7942" max="7942" width="8.59765625" style="64" customWidth="1"/>
    <col min="7943" max="7943" width="7.265625" style="64" customWidth="1"/>
    <col min="7944" max="7944" width="8" style="64" customWidth="1"/>
    <col min="7945" max="7945" width="9.59765625" style="64" customWidth="1"/>
    <col min="7946" max="7946" width="7" style="64" customWidth="1"/>
    <col min="7947" max="7947" width="8.86328125" style="64" customWidth="1"/>
    <col min="7948" max="7948" width="9.59765625" style="64" customWidth="1"/>
    <col min="7949" max="7949" width="7.3984375" style="64" customWidth="1"/>
    <col min="7950" max="8192" width="11.3984375" style="64"/>
    <col min="8193" max="8193" width="26.73046875" style="64" customWidth="1"/>
    <col min="8194" max="8194" width="8.59765625" style="64" customWidth="1"/>
    <col min="8195" max="8195" width="8" style="64" customWidth="1"/>
    <col min="8196" max="8196" width="7.73046875" style="64" customWidth="1"/>
    <col min="8197" max="8197" width="7.86328125" style="64" customWidth="1"/>
    <col min="8198" max="8198" width="8.59765625" style="64" customWidth="1"/>
    <col min="8199" max="8199" width="7.265625" style="64" customWidth="1"/>
    <col min="8200" max="8200" width="8" style="64" customWidth="1"/>
    <col min="8201" max="8201" width="9.59765625" style="64" customWidth="1"/>
    <col min="8202" max="8202" width="7" style="64" customWidth="1"/>
    <col min="8203" max="8203" width="8.86328125" style="64" customWidth="1"/>
    <col min="8204" max="8204" width="9.59765625" style="64" customWidth="1"/>
    <col min="8205" max="8205" width="7.3984375" style="64" customWidth="1"/>
    <col min="8206" max="8448" width="11.3984375" style="64"/>
    <col min="8449" max="8449" width="26.73046875" style="64" customWidth="1"/>
    <col min="8450" max="8450" width="8.59765625" style="64" customWidth="1"/>
    <col min="8451" max="8451" width="8" style="64" customWidth="1"/>
    <col min="8452" max="8452" width="7.73046875" style="64" customWidth="1"/>
    <col min="8453" max="8453" width="7.86328125" style="64" customWidth="1"/>
    <col min="8454" max="8454" width="8.59765625" style="64" customWidth="1"/>
    <col min="8455" max="8455" width="7.265625" style="64" customWidth="1"/>
    <col min="8456" max="8456" width="8" style="64" customWidth="1"/>
    <col min="8457" max="8457" width="9.59765625" style="64" customWidth="1"/>
    <col min="8458" max="8458" width="7" style="64" customWidth="1"/>
    <col min="8459" max="8459" width="8.86328125" style="64" customWidth="1"/>
    <col min="8460" max="8460" width="9.59765625" style="64" customWidth="1"/>
    <col min="8461" max="8461" width="7.3984375" style="64" customWidth="1"/>
    <col min="8462" max="8704" width="11.3984375" style="64"/>
    <col min="8705" max="8705" width="26.73046875" style="64" customWidth="1"/>
    <col min="8706" max="8706" width="8.59765625" style="64" customWidth="1"/>
    <col min="8707" max="8707" width="8" style="64" customWidth="1"/>
    <col min="8708" max="8708" width="7.73046875" style="64" customWidth="1"/>
    <col min="8709" max="8709" width="7.86328125" style="64" customWidth="1"/>
    <col min="8710" max="8710" width="8.59765625" style="64" customWidth="1"/>
    <col min="8711" max="8711" width="7.265625" style="64" customWidth="1"/>
    <col min="8712" max="8712" width="8" style="64" customWidth="1"/>
    <col min="8713" max="8713" width="9.59765625" style="64" customWidth="1"/>
    <col min="8714" max="8714" width="7" style="64" customWidth="1"/>
    <col min="8715" max="8715" width="8.86328125" style="64" customWidth="1"/>
    <col min="8716" max="8716" width="9.59765625" style="64" customWidth="1"/>
    <col min="8717" max="8717" width="7.3984375" style="64" customWidth="1"/>
    <col min="8718" max="8960" width="11.3984375" style="64"/>
    <col min="8961" max="8961" width="26.73046875" style="64" customWidth="1"/>
    <col min="8962" max="8962" width="8.59765625" style="64" customWidth="1"/>
    <col min="8963" max="8963" width="8" style="64" customWidth="1"/>
    <col min="8964" max="8964" width="7.73046875" style="64" customWidth="1"/>
    <col min="8965" max="8965" width="7.86328125" style="64" customWidth="1"/>
    <col min="8966" max="8966" width="8.59765625" style="64" customWidth="1"/>
    <col min="8967" max="8967" width="7.265625" style="64" customWidth="1"/>
    <col min="8968" max="8968" width="8" style="64" customWidth="1"/>
    <col min="8969" max="8969" width="9.59765625" style="64" customWidth="1"/>
    <col min="8970" max="8970" width="7" style="64" customWidth="1"/>
    <col min="8971" max="8971" width="8.86328125" style="64" customWidth="1"/>
    <col min="8972" max="8972" width="9.59765625" style="64" customWidth="1"/>
    <col min="8973" max="8973" width="7.3984375" style="64" customWidth="1"/>
    <col min="8974" max="9216" width="11.3984375" style="64"/>
    <col min="9217" max="9217" width="26.73046875" style="64" customWidth="1"/>
    <col min="9218" max="9218" width="8.59765625" style="64" customWidth="1"/>
    <col min="9219" max="9219" width="8" style="64" customWidth="1"/>
    <col min="9220" max="9220" width="7.73046875" style="64" customWidth="1"/>
    <col min="9221" max="9221" width="7.86328125" style="64" customWidth="1"/>
    <col min="9222" max="9222" width="8.59765625" style="64" customWidth="1"/>
    <col min="9223" max="9223" width="7.265625" style="64" customWidth="1"/>
    <col min="9224" max="9224" width="8" style="64" customWidth="1"/>
    <col min="9225" max="9225" width="9.59765625" style="64" customWidth="1"/>
    <col min="9226" max="9226" width="7" style="64" customWidth="1"/>
    <col min="9227" max="9227" width="8.86328125" style="64" customWidth="1"/>
    <col min="9228" max="9228" width="9.59765625" style="64" customWidth="1"/>
    <col min="9229" max="9229" width="7.3984375" style="64" customWidth="1"/>
    <col min="9230" max="9472" width="11.3984375" style="64"/>
    <col min="9473" max="9473" width="26.73046875" style="64" customWidth="1"/>
    <col min="9474" max="9474" width="8.59765625" style="64" customWidth="1"/>
    <col min="9475" max="9475" width="8" style="64" customWidth="1"/>
    <col min="9476" max="9476" width="7.73046875" style="64" customWidth="1"/>
    <col min="9477" max="9477" width="7.86328125" style="64" customWidth="1"/>
    <col min="9478" max="9478" width="8.59765625" style="64" customWidth="1"/>
    <col min="9479" max="9479" width="7.265625" style="64" customWidth="1"/>
    <col min="9480" max="9480" width="8" style="64" customWidth="1"/>
    <col min="9481" max="9481" width="9.59765625" style="64" customWidth="1"/>
    <col min="9482" max="9482" width="7" style="64" customWidth="1"/>
    <col min="9483" max="9483" width="8.86328125" style="64" customWidth="1"/>
    <col min="9484" max="9484" width="9.59765625" style="64" customWidth="1"/>
    <col min="9485" max="9485" width="7.3984375" style="64" customWidth="1"/>
    <col min="9486" max="9728" width="11.3984375" style="64"/>
    <col min="9729" max="9729" width="26.73046875" style="64" customWidth="1"/>
    <col min="9730" max="9730" width="8.59765625" style="64" customWidth="1"/>
    <col min="9731" max="9731" width="8" style="64" customWidth="1"/>
    <col min="9732" max="9732" width="7.73046875" style="64" customWidth="1"/>
    <col min="9733" max="9733" width="7.86328125" style="64" customWidth="1"/>
    <col min="9734" max="9734" width="8.59765625" style="64" customWidth="1"/>
    <col min="9735" max="9735" width="7.265625" style="64" customWidth="1"/>
    <col min="9736" max="9736" width="8" style="64" customWidth="1"/>
    <col min="9737" max="9737" width="9.59765625" style="64" customWidth="1"/>
    <col min="9738" max="9738" width="7" style="64" customWidth="1"/>
    <col min="9739" max="9739" width="8.86328125" style="64" customWidth="1"/>
    <col min="9740" max="9740" width="9.59765625" style="64" customWidth="1"/>
    <col min="9741" max="9741" width="7.3984375" style="64" customWidth="1"/>
    <col min="9742" max="9984" width="11.3984375" style="64"/>
    <col min="9985" max="9985" width="26.73046875" style="64" customWidth="1"/>
    <col min="9986" max="9986" width="8.59765625" style="64" customWidth="1"/>
    <col min="9987" max="9987" width="8" style="64" customWidth="1"/>
    <col min="9988" max="9988" width="7.73046875" style="64" customWidth="1"/>
    <col min="9989" max="9989" width="7.86328125" style="64" customWidth="1"/>
    <col min="9990" max="9990" width="8.59765625" style="64" customWidth="1"/>
    <col min="9991" max="9991" width="7.265625" style="64" customWidth="1"/>
    <col min="9992" max="9992" width="8" style="64" customWidth="1"/>
    <col min="9993" max="9993" width="9.59765625" style="64" customWidth="1"/>
    <col min="9994" max="9994" width="7" style="64" customWidth="1"/>
    <col min="9995" max="9995" width="8.86328125" style="64" customWidth="1"/>
    <col min="9996" max="9996" width="9.59765625" style="64" customWidth="1"/>
    <col min="9997" max="9997" width="7.3984375" style="64" customWidth="1"/>
    <col min="9998" max="10240" width="11.3984375" style="64"/>
    <col min="10241" max="10241" width="26.73046875" style="64" customWidth="1"/>
    <col min="10242" max="10242" width="8.59765625" style="64" customWidth="1"/>
    <col min="10243" max="10243" width="8" style="64" customWidth="1"/>
    <col min="10244" max="10244" width="7.73046875" style="64" customWidth="1"/>
    <col min="10245" max="10245" width="7.86328125" style="64" customWidth="1"/>
    <col min="10246" max="10246" width="8.59765625" style="64" customWidth="1"/>
    <col min="10247" max="10247" width="7.265625" style="64" customWidth="1"/>
    <col min="10248" max="10248" width="8" style="64" customWidth="1"/>
    <col min="10249" max="10249" width="9.59765625" style="64" customWidth="1"/>
    <col min="10250" max="10250" width="7" style="64" customWidth="1"/>
    <col min="10251" max="10251" width="8.86328125" style="64" customWidth="1"/>
    <col min="10252" max="10252" width="9.59765625" style="64" customWidth="1"/>
    <col min="10253" max="10253" width="7.3984375" style="64" customWidth="1"/>
    <col min="10254" max="10496" width="11.3984375" style="64"/>
    <col min="10497" max="10497" width="26.73046875" style="64" customWidth="1"/>
    <col min="10498" max="10498" width="8.59765625" style="64" customWidth="1"/>
    <col min="10499" max="10499" width="8" style="64" customWidth="1"/>
    <col min="10500" max="10500" width="7.73046875" style="64" customWidth="1"/>
    <col min="10501" max="10501" width="7.86328125" style="64" customWidth="1"/>
    <col min="10502" max="10502" width="8.59765625" style="64" customWidth="1"/>
    <col min="10503" max="10503" width="7.265625" style="64" customWidth="1"/>
    <col min="10504" max="10504" width="8" style="64" customWidth="1"/>
    <col min="10505" max="10505" width="9.59765625" style="64" customWidth="1"/>
    <col min="10506" max="10506" width="7" style="64" customWidth="1"/>
    <col min="10507" max="10507" width="8.86328125" style="64" customWidth="1"/>
    <col min="10508" max="10508" width="9.59765625" style="64" customWidth="1"/>
    <col min="10509" max="10509" width="7.3984375" style="64" customWidth="1"/>
    <col min="10510" max="10752" width="11.3984375" style="64"/>
    <col min="10753" max="10753" width="26.73046875" style="64" customWidth="1"/>
    <col min="10754" max="10754" width="8.59765625" style="64" customWidth="1"/>
    <col min="10755" max="10755" width="8" style="64" customWidth="1"/>
    <col min="10756" max="10756" width="7.73046875" style="64" customWidth="1"/>
    <col min="10757" max="10757" width="7.86328125" style="64" customWidth="1"/>
    <col min="10758" max="10758" width="8.59765625" style="64" customWidth="1"/>
    <col min="10759" max="10759" width="7.265625" style="64" customWidth="1"/>
    <col min="10760" max="10760" width="8" style="64" customWidth="1"/>
    <col min="10761" max="10761" width="9.59765625" style="64" customWidth="1"/>
    <col min="10762" max="10762" width="7" style="64" customWidth="1"/>
    <col min="10763" max="10763" width="8.86328125" style="64" customWidth="1"/>
    <col min="10764" max="10764" width="9.59765625" style="64" customWidth="1"/>
    <col min="10765" max="10765" width="7.3984375" style="64" customWidth="1"/>
    <col min="10766" max="11008" width="11.3984375" style="64"/>
    <col min="11009" max="11009" width="26.73046875" style="64" customWidth="1"/>
    <col min="11010" max="11010" width="8.59765625" style="64" customWidth="1"/>
    <col min="11011" max="11011" width="8" style="64" customWidth="1"/>
    <col min="11012" max="11012" width="7.73046875" style="64" customWidth="1"/>
    <col min="11013" max="11013" width="7.86328125" style="64" customWidth="1"/>
    <col min="11014" max="11014" width="8.59765625" style="64" customWidth="1"/>
    <col min="11015" max="11015" width="7.265625" style="64" customWidth="1"/>
    <col min="11016" max="11016" width="8" style="64" customWidth="1"/>
    <col min="11017" max="11017" width="9.59765625" style="64" customWidth="1"/>
    <col min="11018" max="11018" width="7" style="64" customWidth="1"/>
    <col min="11019" max="11019" width="8.86328125" style="64" customWidth="1"/>
    <col min="11020" max="11020" width="9.59765625" style="64" customWidth="1"/>
    <col min="11021" max="11021" width="7.3984375" style="64" customWidth="1"/>
    <col min="11022" max="11264" width="11.3984375" style="64"/>
    <col min="11265" max="11265" width="26.73046875" style="64" customWidth="1"/>
    <col min="11266" max="11266" width="8.59765625" style="64" customWidth="1"/>
    <col min="11267" max="11267" width="8" style="64" customWidth="1"/>
    <col min="11268" max="11268" width="7.73046875" style="64" customWidth="1"/>
    <col min="11269" max="11269" width="7.86328125" style="64" customWidth="1"/>
    <col min="11270" max="11270" width="8.59765625" style="64" customWidth="1"/>
    <col min="11271" max="11271" width="7.265625" style="64" customWidth="1"/>
    <col min="11272" max="11272" width="8" style="64" customWidth="1"/>
    <col min="11273" max="11273" width="9.59765625" style="64" customWidth="1"/>
    <col min="11274" max="11274" width="7" style="64" customWidth="1"/>
    <col min="11275" max="11275" width="8.86328125" style="64" customWidth="1"/>
    <col min="11276" max="11276" width="9.59765625" style="64" customWidth="1"/>
    <col min="11277" max="11277" width="7.3984375" style="64" customWidth="1"/>
    <col min="11278" max="11520" width="11.3984375" style="64"/>
    <col min="11521" max="11521" width="26.73046875" style="64" customWidth="1"/>
    <col min="11522" max="11522" width="8.59765625" style="64" customWidth="1"/>
    <col min="11523" max="11523" width="8" style="64" customWidth="1"/>
    <col min="11524" max="11524" width="7.73046875" style="64" customWidth="1"/>
    <col min="11525" max="11525" width="7.86328125" style="64" customWidth="1"/>
    <col min="11526" max="11526" width="8.59765625" style="64" customWidth="1"/>
    <col min="11527" max="11527" width="7.265625" style="64" customWidth="1"/>
    <col min="11528" max="11528" width="8" style="64" customWidth="1"/>
    <col min="11529" max="11529" width="9.59765625" style="64" customWidth="1"/>
    <col min="11530" max="11530" width="7" style="64" customWidth="1"/>
    <col min="11531" max="11531" width="8.86328125" style="64" customWidth="1"/>
    <col min="11532" max="11532" width="9.59765625" style="64" customWidth="1"/>
    <col min="11533" max="11533" width="7.3984375" style="64" customWidth="1"/>
    <col min="11534" max="11776" width="11.3984375" style="64"/>
    <col min="11777" max="11777" width="26.73046875" style="64" customWidth="1"/>
    <col min="11778" max="11778" width="8.59765625" style="64" customWidth="1"/>
    <col min="11779" max="11779" width="8" style="64" customWidth="1"/>
    <col min="11780" max="11780" width="7.73046875" style="64" customWidth="1"/>
    <col min="11781" max="11781" width="7.86328125" style="64" customWidth="1"/>
    <col min="11782" max="11782" width="8.59765625" style="64" customWidth="1"/>
    <col min="11783" max="11783" width="7.265625" style="64" customWidth="1"/>
    <col min="11784" max="11784" width="8" style="64" customWidth="1"/>
    <col min="11785" max="11785" width="9.59765625" style="64" customWidth="1"/>
    <col min="11786" max="11786" width="7" style="64" customWidth="1"/>
    <col min="11787" max="11787" width="8.86328125" style="64" customWidth="1"/>
    <col min="11788" max="11788" width="9.59765625" style="64" customWidth="1"/>
    <col min="11789" max="11789" width="7.3984375" style="64" customWidth="1"/>
    <col min="11790" max="12032" width="11.3984375" style="64"/>
    <col min="12033" max="12033" width="26.73046875" style="64" customWidth="1"/>
    <col min="12034" max="12034" width="8.59765625" style="64" customWidth="1"/>
    <col min="12035" max="12035" width="8" style="64" customWidth="1"/>
    <col min="12036" max="12036" width="7.73046875" style="64" customWidth="1"/>
    <col min="12037" max="12037" width="7.86328125" style="64" customWidth="1"/>
    <col min="12038" max="12038" width="8.59765625" style="64" customWidth="1"/>
    <col min="12039" max="12039" width="7.265625" style="64" customWidth="1"/>
    <col min="12040" max="12040" width="8" style="64" customWidth="1"/>
    <col min="12041" max="12041" width="9.59765625" style="64" customWidth="1"/>
    <col min="12042" max="12042" width="7" style="64" customWidth="1"/>
    <col min="12043" max="12043" width="8.86328125" style="64" customWidth="1"/>
    <col min="12044" max="12044" width="9.59765625" style="64" customWidth="1"/>
    <col min="12045" max="12045" width="7.3984375" style="64" customWidth="1"/>
    <col min="12046" max="12288" width="11.3984375" style="64"/>
    <col min="12289" max="12289" width="26.73046875" style="64" customWidth="1"/>
    <col min="12290" max="12290" width="8.59765625" style="64" customWidth="1"/>
    <col min="12291" max="12291" width="8" style="64" customWidth="1"/>
    <col min="12292" max="12292" width="7.73046875" style="64" customWidth="1"/>
    <col min="12293" max="12293" width="7.86328125" style="64" customWidth="1"/>
    <col min="12294" max="12294" width="8.59765625" style="64" customWidth="1"/>
    <col min="12295" max="12295" width="7.265625" style="64" customWidth="1"/>
    <col min="12296" max="12296" width="8" style="64" customWidth="1"/>
    <col min="12297" max="12297" width="9.59765625" style="64" customWidth="1"/>
    <col min="12298" max="12298" width="7" style="64" customWidth="1"/>
    <col min="12299" max="12299" width="8.86328125" style="64" customWidth="1"/>
    <col min="12300" max="12300" width="9.59765625" style="64" customWidth="1"/>
    <col min="12301" max="12301" width="7.3984375" style="64" customWidth="1"/>
    <col min="12302" max="12544" width="11.3984375" style="64"/>
    <col min="12545" max="12545" width="26.73046875" style="64" customWidth="1"/>
    <col min="12546" max="12546" width="8.59765625" style="64" customWidth="1"/>
    <col min="12547" max="12547" width="8" style="64" customWidth="1"/>
    <col min="12548" max="12548" width="7.73046875" style="64" customWidth="1"/>
    <col min="12549" max="12549" width="7.86328125" style="64" customWidth="1"/>
    <col min="12550" max="12550" width="8.59765625" style="64" customWidth="1"/>
    <col min="12551" max="12551" width="7.265625" style="64" customWidth="1"/>
    <col min="12552" max="12552" width="8" style="64" customWidth="1"/>
    <col min="12553" max="12553" width="9.59765625" style="64" customWidth="1"/>
    <col min="12554" max="12554" width="7" style="64" customWidth="1"/>
    <col min="12555" max="12555" width="8.86328125" style="64" customWidth="1"/>
    <col min="12556" max="12556" width="9.59765625" style="64" customWidth="1"/>
    <col min="12557" max="12557" width="7.3984375" style="64" customWidth="1"/>
    <col min="12558" max="12800" width="11.3984375" style="64"/>
    <col min="12801" max="12801" width="26.73046875" style="64" customWidth="1"/>
    <col min="12802" max="12802" width="8.59765625" style="64" customWidth="1"/>
    <col min="12803" max="12803" width="8" style="64" customWidth="1"/>
    <col min="12804" max="12804" width="7.73046875" style="64" customWidth="1"/>
    <col min="12805" max="12805" width="7.86328125" style="64" customWidth="1"/>
    <col min="12806" max="12806" width="8.59765625" style="64" customWidth="1"/>
    <col min="12807" max="12807" width="7.265625" style="64" customWidth="1"/>
    <col min="12808" max="12808" width="8" style="64" customWidth="1"/>
    <col min="12809" max="12809" width="9.59765625" style="64" customWidth="1"/>
    <col min="12810" max="12810" width="7" style="64" customWidth="1"/>
    <col min="12811" max="12811" width="8.86328125" style="64" customWidth="1"/>
    <col min="12812" max="12812" width="9.59765625" style="64" customWidth="1"/>
    <col min="12813" max="12813" width="7.3984375" style="64" customWidth="1"/>
    <col min="12814" max="13056" width="11.3984375" style="64"/>
    <col min="13057" max="13057" width="26.73046875" style="64" customWidth="1"/>
    <col min="13058" max="13058" width="8.59765625" style="64" customWidth="1"/>
    <col min="13059" max="13059" width="8" style="64" customWidth="1"/>
    <col min="13060" max="13060" width="7.73046875" style="64" customWidth="1"/>
    <col min="13061" max="13061" width="7.86328125" style="64" customWidth="1"/>
    <col min="13062" max="13062" width="8.59765625" style="64" customWidth="1"/>
    <col min="13063" max="13063" width="7.265625" style="64" customWidth="1"/>
    <col min="13064" max="13064" width="8" style="64" customWidth="1"/>
    <col min="13065" max="13065" width="9.59765625" style="64" customWidth="1"/>
    <col min="13066" max="13066" width="7" style="64" customWidth="1"/>
    <col min="13067" max="13067" width="8.86328125" style="64" customWidth="1"/>
    <col min="13068" max="13068" width="9.59765625" style="64" customWidth="1"/>
    <col min="13069" max="13069" width="7.3984375" style="64" customWidth="1"/>
    <col min="13070" max="13312" width="11.3984375" style="64"/>
    <col min="13313" max="13313" width="26.73046875" style="64" customWidth="1"/>
    <col min="13314" max="13314" width="8.59765625" style="64" customWidth="1"/>
    <col min="13315" max="13315" width="8" style="64" customWidth="1"/>
    <col min="13316" max="13316" width="7.73046875" style="64" customWidth="1"/>
    <col min="13317" max="13317" width="7.86328125" style="64" customWidth="1"/>
    <col min="13318" max="13318" width="8.59765625" style="64" customWidth="1"/>
    <col min="13319" max="13319" width="7.265625" style="64" customWidth="1"/>
    <col min="13320" max="13320" width="8" style="64" customWidth="1"/>
    <col min="13321" max="13321" width="9.59765625" style="64" customWidth="1"/>
    <col min="13322" max="13322" width="7" style="64" customWidth="1"/>
    <col min="13323" max="13323" width="8.86328125" style="64" customWidth="1"/>
    <col min="13324" max="13324" width="9.59765625" style="64" customWidth="1"/>
    <col min="13325" max="13325" width="7.3984375" style="64" customWidth="1"/>
    <col min="13326" max="13568" width="11.3984375" style="64"/>
    <col min="13569" max="13569" width="26.73046875" style="64" customWidth="1"/>
    <col min="13570" max="13570" width="8.59765625" style="64" customWidth="1"/>
    <col min="13571" max="13571" width="8" style="64" customWidth="1"/>
    <col min="13572" max="13572" width="7.73046875" style="64" customWidth="1"/>
    <col min="13573" max="13573" width="7.86328125" style="64" customWidth="1"/>
    <col min="13574" max="13574" width="8.59765625" style="64" customWidth="1"/>
    <col min="13575" max="13575" width="7.265625" style="64" customWidth="1"/>
    <col min="13576" max="13576" width="8" style="64" customWidth="1"/>
    <col min="13577" max="13577" width="9.59765625" style="64" customWidth="1"/>
    <col min="13578" max="13578" width="7" style="64" customWidth="1"/>
    <col min="13579" max="13579" width="8.86328125" style="64" customWidth="1"/>
    <col min="13580" max="13580" width="9.59765625" style="64" customWidth="1"/>
    <col min="13581" max="13581" width="7.3984375" style="64" customWidth="1"/>
    <col min="13582" max="13824" width="11.3984375" style="64"/>
    <col min="13825" max="13825" width="26.73046875" style="64" customWidth="1"/>
    <col min="13826" max="13826" width="8.59765625" style="64" customWidth="1"/>
    <col min="13827" max="13827" width="8" style="64" customWidth="1"/>
    <col min="13828" max="13828" width="7.73046875" style="64" customWidth="1"/>
    <col min="13829" max="13829" width="7.86328125" style="64" customWidth="1"/>
    <col min="13830" max="13830" width="8.59765625" style="64" customWidth="1"/>
    <col min="13831" max="13831" width="7.265625" style="64" customWidth="1"/>
    <col min="13832" max="13832" width="8" style="64" customWidth="1"/>
    <col min="13833" max="13833" width="9.59765625" style="64" customWidth="1"/>
    <col min="13834" max="13834" width="7" style="64" customWidth="1"/>
    <col min="13835" max="13835" width="8.86328125" style="64" customWidth="1"/>
    <col min="13836" max="13836" width="9.59765625" style="64" customWidth="1"/>
    <col min="13837" max="13837" width="7.3984375" style="64" customWidth="1"/>
    <col min="13838" max="14080" width="11.3984375" style="64"/>
    <col min="14081" max="14081" width="26.73046875" style="64" customWidth="1"/>
    <col min="14082" max="14082" width="8.59765625" style="64" customWidth="1"/>
    <col min="14083" max="14083" width="8" style="64" customWidth="1"/>
    <col min="14084" max="14084" width="7.73046875" style="64" customWidth="1"/>
    <col min="14085" max="14085" width="7.86328125" style="64" customWidth="1"/>
    <col min="14086" max="14086" width="8.59765625" style="64" customWidth="1"/>
    <col min="14087" max="14087" width="7.265625" style="64" customWidth="1"/>
    <col min="14088" max="14088" width="8" style="64" customWidth="1"/>
    <col min="14089" max="14089" width="9.59765625" style="64" customWidth="1"/>
    <col min="14090" max="14090" width="7" style="64" customWidth="1"/>
    <col min="14091" max="14091" width="8.86328125" style="64" customWidth="1"/>
    <col min="14092" max="14092" width="9.59765625" style="64" customWidth="1"/>
    <col min="14093" max="14093" width="7.3984375" style="64" customWidth="1"/>
    <col min="14094" max="14336" width="11.3984375" style="64"/>
    <col min="14337" max="14337" width="26.73046875" style="64" customWidth="1"/>
    <col min="14338" max="14338" width="8.59765625" style="64" customWidth="1"/>
    <col min="14339" max="14339" width="8" style="64" customWidth="1"/>
    <col min="14340" max="14340" width="7.73046875" style="64" customWidth="1"/>
    <col min="14341" max="14341" width="7.86328125" style="64" customWidth="1"/>
    <col min="14342" max="14342" width="8.59765625" style="64" customWidth="1"/>
    <col min="14343" max="14343" width="7.265625" style="64" customWidth="1"/>
    <col min="14344" max="14344" width="8" style="64" customWidth="1"/>
    <col min="14345" max="14345" width="9.59765625" style="64" customWidth="1"/>
    <col min="14346" max="14346" width="7" style="64" customWidth="1"/>
    <col min="14347" max="14347" width="8.86328125" style="64" customWidth="1"/>
    <col min="14348" max="14348" width="9.59765625" style="64" customWidth="1"/>
    <col min="14349" max="14349" width="7.3984375" style="64" customWidth="1"/>
    <col min="14350" max="14592" width="11.3984375" style="64"/>
    <col min="14593" max="14593" width="26.73046875" style="64" customWidth="1"/>
    <col min="14594" max="14594" width="8.59765625" style="64" customWidth="1"/>
    <col min="14595" max="14595" width="8" style="64" customWidth="1"/>
    <col min="14596" max="14596" width="7.73046875" style="64" customWidth="1"/>
    <col min="14597" max="14597" width="7.86328125" style="64" customWidth="1"/>
    <col min="14598" max="14598" width="8.59765625" style="64" customWidth="1"/>
    <col min="14599" max="14599" width="7.265625" style="64" customWidth="1"/>
    <col min="14600" max="14600" width="8" style="64" customWidth="1"/>
    <col min="14601" max="14601" width="9.59765625" style="64" customWidth="1"/>
    <col min="14602" max="14602" width="7" style="64" customWidth="1"/>
    <col min="14603" max="14603" width="8.86328125" style="64" customWidth="1"/>
    <col min="14604" max="14604" width="9.59765625" style="64" customWidth="1"/>
    <col min="14605" max="14605" width="7.3984375" style="64" customWidth="1"/>
    <col min="14606" max="14848" width="11.3984375" style="64"/>
    <col min="14849" max="14849" width="26.73046875" style="64" customWidth="1"/>
    <col min="14850" max="14850" width="8.59765625" style="64" customWidth="1"/>
    <col min="14851" max="14851" width="8" style="64" customWidth="1"/>
    <col min="14852" max="14852" width="7.73046875" style="64" customWidth="1"/>
    <col min="14853" max="14853" width="7.86328125" style="64" customWidth="1"/>
    <col min="14854" max="14854" width="8.59765625" style="64" customWidth="1"/>
    <col min="14855" max="14855" width="7.265625" style="64" customWidth="1"/>
    <col min="14856" max="14856" width="8" style="64" customWidth="1"/>
    <col min="14857" max="14857" width="9.59765625" style="64" customWidth="1"/>
    <col min="14858" max="14858" width="7" style="64" customWidth="1"/>
    <col min="14859" max="14859" width="8.86328125" style="64" customWidth="1"/>
    <col min="14860" max="14860" width="9.59765625" style="64" customWidth="1"/>
    <col min="14861" max="14861" width="7.3984375" style="64" customWidth="1"/>
    <col min="14862" max="15104" width="11.3984375" style="64"/>
    <col min="15105" max="15105" width="26.73046875" style="64" customWidth="1"/>
    <col min="15106" max="15106" width="8.59765625" style="64" customWidth="1"/>
    <col min="15107" max="15107" width="8" style="64" customWidth="1"/>
    <col min="15108" max="15108" width="7.73046875" style="64" customWidth="1"/>
    <col min="15109" max="15109" width="7.86328125" style="64" customWidth="1"/>
    <col min="15110" max="15110" width="8.59765625" style="64" customWidth="1"/>
    <col min="15111" max="15111" width="7.265625" style="64" customWidth="1"/>
    <col min="15112" max="15112" width="8" style="64" customWidth="1"/>
    <col min="15113" max="15113" width="9.59765625" style="64" customWidth="1"/>
    <col min="15114" max="15114" width="7" style="64" customWidth="1"/>
    <col min="15115" max="15115" width="8.86328125" style="64" customWidth="1"/>
    <col min="15116" max="15116" width="9.59765625" style="64" customWidth="1"/>
    <col min="15117" max="15117" width="7.3984375" style="64" customWidth="1"/>
    <col min="15118" max="15360" width="11.3984375" style="64"/>
    <col min="15361" max="15361" width="26.73046875" style="64" customWidth="1"/>
    <col min="15362" max="15362" width="8.59765625" style="64" customWidth="1"/>
    <col min="15363" max="15363" width="8" style="64" customWidth="1"/>
    <col min="15364" max="15364" width="7.73046875" style="64" customWidth="1"/>
    <col min="15365" max="15365" width="7.86328125" style="64" customWidth="1"/>
    <col min="15366" max="15366" width="8.59765625" style="64" customWidth="1"/>
    <col min="15367" max="15367" width="7.265625" style="64" customWidth="1"/>
    <col min="15368" max="15368" width="8" style="64" customWidth="1"/>
    <col min="15369" max="15369" width="9.59765625" style="64" customWidth="1"/>
    <col min="15370" max="15370" width="7" style="64" customWidth="1"/>
    <col min="15371" max="15371" width="8.86328125" style="64" customWidth="1"/>
    <col min="15372" max="15372" width="9.59765625" style="64" customWidth="1"/>
    <col min="15373" max="15373" width="7.3984375" style="64" customWidth="1"/>
    <col min="15374" max="15616" width="11.3984375" style="64"/>
    <col min="15617" max="15617" width="26.73046875" style="64" customWidth="1"/>
    <col min="15618" max="15618" width="8.59765625" style="64" customWidth="1"/>
    <col min="15619" max="15619" width="8" style="64" customWidth="1"/>
    <col min="15620" max="15620" width="7.73046875" style="64" customWidth="1"/>
    <col min="15621" max="15621" width="7.86328125" style="64" customWidth="1"/>
    <col min="15622" max="15622" width="8.59765625" style="64" customWidth="1"/>
    <col min="15623" max="15623" width="7.265625" style="64" customWidth="1"/>
    <col min="15624" max="15624" width="8" style="64" customWidth="1"/>
    <col min="15625" max="15625" width="9.59765625" style="64" customWidth="1"/>
    <col min="15626" max="15626" width="7" style="64" customWidth="1"/>
    <col min="15627" max="15627" width="8.86328125" style="64" customWidth="1"/>
    <col min="15628" max="15628" width="9.59765625" style="64" customWidth="1"/>
    <col min="15629" max="15629" width="7.3984375" style="64" customWidth="1"/>
    <col min="15630" max="15872" width="11.3984375" style="64"/>
    <col min="15873" max="15873" width="26.73046875" style="64" customWidth="1"/>
    <col min="15874" max="15874" width="8.59765625" style="64" customWidth="1"/>
    <col min="15875" max="15875" width="8" style="64" customWidth="1"/>
    <col min="15876" max="15876" width="7.73046875" style="64" customWidth="1"/>
    <col min="15877" max="15877" width="7.86328125" style="64" customWidth="1"/>
    <col min="15878" max="15878" width="8.59765625" style="64" customWidth="1"/>
    <col min="15879" max="15879" width="7.265625" style="64" customWidth="1"/>
    <col min="15880" max="15880" width="8" style="64" customWidth="1"/>
    <col min="15881" max="15881" width="9.59765625" style="64" customWidth="1"/>
    <col min="15882" max="15882" width="7" style="64" customWidth="1"/>
    <col min="15883" max="15883" width="8.86328125" style="64" customWidth="1"/>
    <col min="15884" max="15884" width="9.59765625" style="64" customWidth="1"/>
    <col min="15885" max="15885" width="7.3984375" style="64" customWidth="1"/>
    <col min="15886" max="16128" width="11.3984375" style="64"/>
    <col min="16129" max="16129" width="26.73046875" style="64" customWidth="1"/>
    <col min="16130" max="16130" width="8.59765625" style="64" customWidth="1"/>
    <col min="16131" max="16131" width="8" style="64" customWidth="1"/>
    <col min="16132" max="16132" width="7.73046875" style="64" customWidth="1"/>
    <col min="16133" max="16133" width="7.86328125" style="64" customWidth="1"/>
    <col min="16134" max="16134" width="8.59765625" style="64" customWidth="1"/>
    <col min="16135" max="16135" width="7.265625" style="64" customWidth="1"/>
    <col min="16136" max="16136" width="8" style="64" customWidth="1"/>
    <col min="16137" max="16137" width="9.59765625" style="64" customWidth="1"/>
    <col min="16138" max="16138" width="7" style="64" customWidth="1"/>
    <col min="16139" max="16139" width="8.86328125" style="64" customWidth="1"/>
    <col min="16140" max="16140" width="9.59765625" style="64" customWidth="1"/>
    <col min="16141" max="16141" width="7.3984375" style="64" customWidth="1"/>
    <col min="16142" max="16381" width="11.3984375" style="64"/>
    <col min="16382" max="16384" width="11.3984375" style="64" customWidth="1"/>
  </cols>
  <sheetData>
    <row r="2" spans="1:13" ht="16.149999999999999">
      <c r="A2" s="382" t="s">
        <v>30</v>
      </c>
      <c r="B2" s="382"/>
      <c r="C2" s="382"/>
      <c r="D2" s="382"/>
      <c r="E2" s="382"/>
      <c r="F2" s="382"/>
      <c r="G2" s="382"/>
      <c r="H2" s="382"/>
      <c r="I2" s="382"/>
      <c r="J2" s="382"/>
      <c r="K2" s="237"/>
      <c r="L2" s="237"/>
      <c r="M2" s="237"/>
    </row>
    <row r="3" spans="1:13" ht="16.149999999999999">
      <c r="A3" s="381" t="s">
        <v>133</v>
      </c>
      <c r="B3" s="381"/>
      <c r="C3" s="381"/>
      <c r="D3" s="381"/>
      <c r="E3" s="381"/>
      <c r="F3" s="381"/>
      <c r="G3" s="381"/>
      <c r="H3" s="381"/>
      <c r="I3" s="381"/>
      <c r="J3" s="381"/>
      <c r="K3" s="237"/>
      <c r="L3" s="237"/>
      <c r="M3" s="237"/>
    </row>
    <row r="4" spans="1:13">
      <c r="A4" s="387" t="s">
        <v>31</v>
      </c>
      <c r="B4" s="383" t="s">
        <v>60</v>
      </c>
      <c r="C4" s="384"/>
      <c r="D4" s="385"/>
      <c r="E4" s="383" t="s">
        <v>32</v>
      </c>
      <c r="F4" s="384"/>
      <c r="G4" s="385"/>
      <c r="H4" s="383" t="s">
        <v>32</v>
      </c>
      <c r="I4" s="384"/>
      <c r="J4" s="385"/>
    </row>
    <row r="5" spans="1:13" ht="15" customHeight="1">
      <c r="A5" s="388"/>
      <c r="B5" s="235">
        <v>45717</v>
      </c>
      <c r="C5" s="233">
        <v>46082</v>
      </c>
      <c r="D5" s="231" t="s">
        <v>11</v>
      </c>
      <c r="E5" s="390" t="s">
        <v>115</v>
      </c>
      <c r="F5" s="392" t="s">
        <v>116</v>
      </c>
      <c r="G5" s="394" t="s">
        <v>11</v>
      </c>
      <c r="H5" s="390" t="s">
        <v>116</v>
      </c>
      <c r="I5" s="392" t="s">
        <v>117</v>
      </c>
      <c r="J5" s="396" t="s">
        <v>11</v>
      </c>
    </row>
    <row r="6" spans="1:13" ht="15" customHeight="1">
      <c r="A6" s="389"/>
      <c r="B6" s="236"/>
      <c r="C6" s="234"/>
      <c r="D6" s="232"/>
      <c r="E6" s="391"/>
      <c r="F6" s="393"/>
      <c r="G6" s="395"/>
      <c r="H6" s="391"/>
      <c r="I6" s="393"/>
      <c r="J6" s="397"/>
    </row>
    <row r="7" spans="1:13">
      <c r="A7" s="196" t="s">
        <v>5</v>
      </c>
      <c r="B7" s="197">
        <v>902</v>
      </c>
      <c r="C7" s="198">
        <v>6406</v>
      </c>
      <c r="D7" s="199">
        <f>+C7/B7*100-100</f>
        <v>610.19955654101989</v>
      </c>
      <c r="E7" s="197">
        <v>1417</v>
      </c>
      <c r="F7" s="198">
        <v>2621</v>
      </c>
      <c r="G7" s="199">
        <f>+F7/E7*100-100</f>
        <v>84.968242766407911</v>
      </c>
      <c r="H7" s="197">
        <v>2621</v>
      </c>
      <c r="I7" s="198">
        <v>2368</v>
      </c>
      <c r="J7" s="305">
        <f>+I7/H7*100-100</f>
        <v>-9.6528042731781767</v>
      </c>
    </row>
    <row r="8" spans="1:13">
      <c r="A8" s="196" t="s">
        <v>6</v>
      </c>
      <c r="B8" s="197">
        <v>9605</v>
      </c>
      <c r="C8" s="198">
        <v>6008</v>
      </c>
      <c r="D8" s="199">
        <f>+C8/B8*100-100</f>
        <v>-37.449245184799587</v>
      </c>
      <c r="E8" s="197">
        <v>4130</v>
      </c>
      <c r="F8" s="198">
        <v>3017</v>
      </c>
      <c r="G8" s="199">
        <f>+F8/E8*100-100</f>
        <v>-26.949152542372872</v>
      </c>
      <c r="H8" s="197">
        <v>3017</v>
      </c>
      <c r="I8" s="198">
        <v>2418</v>
      </c>
      <c r="J8" s="200">
        <f>+I8/H8*100-100</f>
        <v>-19.854159761352335</v>
      </c>
    </row>
    <row r="9" spans="1:13">
      <c r="A9" s="196" t="s">
        <v>34</v>
      </c>
      <c r="B9" s="201">
        <v>6924</v>
      </c>
      <c r="C9" s="202">
        <v>1124</v>
      </c>
      <c r="D9" s="199">
        <f>+C9/B9*100-100</f>
        <v>-83.766608896591563</v>
      </c>
      <c r="E9" s="197">
        <v>573</v>
      </c>
      <c r="F9" s="198">
        <v>491</v>
      </c>
      <c r="G9" s="199">
        <f>+F9/E9*100-100</f>
        <v>-14.310645724258279</v>
      </c>
      <c r="H9" s="197">
        <v>491</v>
      </c>
      <c r="I9" s="198">
        <v>60</v>
      </c>
      <c r="J9" s="200">
        <f>+I9/H9*100-100</f>
        <v>-87.780040733197552</v>
      </c>
    </row>
    <row r="10" spans="1:13">
      <c r="A10" s="204" t="s">
        <v>52</v>
      </c>
      <c r="B10" s="206">
        <v>17431</v>
      </c>
      <c r="C10" s="207">
        <v>13358</v>
      </c>
      <c r="D10" s="208">
        <f>+C10/B10*100-100</f>
        <v>-23.366416155125918</v>
      </c>
      <c r="E10" s="206">
        <v>2563</v>
      </c>
      <c r="F10" s="205">
        <f>SUM(F7:F9)</f>
        <v>6129</v>
      </c>
      <c r="G10" s="208">
        <f>+F10/E10*100-100</f>
        <v>139.13382754584472</v>
      </c>
      <c r="H10" s="206">
        <f>SUM(H7:H9)</f>
        <v>6129</v>
      </c>
      <c r="I10" s="205">
        <v>4846</v>
      </c>
      <c r="J10" s="209">
        <f>+I10/H10*100-100</f>
        <v>-20.933268069831939</v>
      </c>
    </row>
    <row r="11" spans="1:13" ht="15">
      <c r="A11" s="386"/>
      <c r="B11" s="386"/>
      <c r="C11" s="386"/>
      <c r="D11" s="386"/>
      <c r="E11" s="386"/>
      <c r="F11" s="386"/>
      <c r="G11" s="386"/>
      <c r="H11" s="386"/>
      <c r="I11" s="386"/>
      <c r="J11" s="386"/>
    </row>
  </sheetData>
  <mergeCells count="14">
    <mergeCell ref="A3:J3"/>
    <mergeCell ref="A2:J2"/>
    <mergeCell ref="B4:D4"/>
    <mergeCell ref="I11:J11"/>
    <mergeCell ref="A11:H11"/>
    <mergeCell ref="A4:A6"/>
    <mergeCell ref="E4:G4"/>
    <mergeCell ref="E5:E6"/>
    <mergeCell ref="F5:F6"/>
    <mergeCell ref="G5:G6"/>
    <mergeCell ref="H4:J4"/>
    <mergeCell ref="H5:H6"/>
    <mergeCell ref="I5:I6"/>
    <mergeCell ref="J5: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908B-FA7E-4137-B82C-B39109308EBA}">
  <dimension ref="A1:F14"/>
  <sheetViews>
    <sheetView zoomScale="115" zoomScaleNormal="115" workbookViewId="0">
      <selection activeCell="A22" sqref="A22"/>
    </sheetView>
  </sheetViews>
  <sheetFormatPr baseColWidth="10" defaultColWidth="11.3984375" defaultRowHeight="14.25"/>
  <cols>
    <col min="1" max="1" width="27.59765625" style="343" bestFit="1" customWidth="1"/>
    <col min="2" max="2" width="11.1328125" style="343" bestFit="1" customWidth="1"/>
    <col min="3" max="3" width="11.3984375" style="343"/>
    <col min="4" max="4" width="17.59765625" style="343" bestFit="1" customWidth="1"/>
    <col min="5" max="5" width="12" style="343" bestFit="1" customWidth="1"/>
    <col min="6" max="16384" width="11.3984375" style="343"/>
  </cols>
  <sheetData>
    <row r="1" spans="1:6">
      <c r="A1" s="398" t="s">
        <v>154</v>
      </c>
      <c r="B1" s="398"/>
      <c r="D1" s="398" t="s">
        <v>155</v>
      </c>
      <c r="E1" s="398"/>
    </row>
    <row r="2" spans="1:6">
      <c r="A2" s="346" t="s">
        <v>143</v>
      </c>
      <c r="B2" s="347">
        <v>17431</v>
      </c>
      <c r="D2" s="346" t="s">
        <v>138</v>
      </c>
      <c r="E2" s="347">
        <f>+SUM('AÑO CORRIDO I TRIMESTRE 25-26'!L25:M25)</f>
        <v>2747</v>
      </c>
    </row>
    <row r="3" spans="1:6">
      <c r="A3" s="348" t="s">
        <v>144</v>
      </c>
      <c r="B3" s="349">
        <v>13538</v>
      </c>
      <c r="D3" s="348" t="s">
        <v>139</v>
      </c>
      <c r="E3" s="349">
        <f>+SUM('AÑO CORRIDO I TRIMESTRE 25-26'!P25:Q25)</f>
        <v>5549</v>
      </c>
    </row>
    <row r="4" spans="1:6" ht="14.65" thickBot="1">
      <c r="A4" s="348" t="s">
        <v>145</v>
      </c>
      <c r="B4" s="350">
        <f>+(B3-B2)/B2</f>
        <v>-0.2233377316275601</v>
      </c>
      <c r="D4" s="353" t="s">
        <v>140</v>
      </c>
      <c r="E4" s="355">
        <f>+SUM('AÑO CORRIDO I TRIMESTRE 25-26'!T25:U25)</f>
        <v>9135</v>
      </c>
    </row>
    <row r="5" spans="1:6" ht="15" thickTop="1" thickBot="1">
      <c r="A5" s="353" t="s">
        <v>146</v>
      </c>
      <c r="B5" s="354">
        <f>+B2-B3</f>
        <v>3893</v>
      </c>
      <c r="D5" s="348" t="s">
        <v>156</v>
      </c>
      <c r="E5" s="349">
        <v>2563</v>
      </c>
    </row>
    <row r="6" spans="1:6" ht="14.65" thickTop="1">
      <c r="A6" s="348" t="s">
        <v>147</v>
      </c>
      <c r="B6" s="349">
        <v>10507</v>
      </c>
      <c r="D6" s="348" t="s">
        <v>157</v>
      </c>
      <c r="E6" s="349">
        <f>+SUM('AÑO CORRIDO I TRIMESTRE 25-26'!AG25:AH25)</f>
        <v>6129</v>
      </c>
    </row>
    <row r="7" spans="1:6">
      <c r="A7" s="348" t="s">
        <v>148</v>
      </c>
      <c r="B7" s="349">
        <v>12414</v>
      </c>
      <c r="D7" s="351" t="s">
        <v>120</v>
      </c>
      <c r="E7" s="356">
        <f>+SUM('Viviendas por localidad'!CJ23:CL23)</f>
        <v>4846</v>
      </c>
    </row>
    <row r="8" spans="1:6">
      <c r="A8" s="348" t="s">
        <v>145</v>
      </c>
      <c r="B8" s="350">
        <f>+(B7-B6)/B6</f>
        <v>0.18149804891976778</v>
      </c>
    </row>
    <row r="9" spans="1:6" ht="14.65" thickBot="1">
      <c r="A9" s="353" t="s">
        <v>146</v>
      </c>
      <c r="B9" s="354">
        <f>+B6-B7</f>
        <v>-1907</v>
      </c>
    </row>
    <row r="10" spans="1:6" ht="14.65" thickTop="1">
      <c r="A10" s="348" t="s">
        <v>149</v>
      </c>
      <c r="B10" s="349">
        <v>6924</v>
      </c>
    </row>
    <row r="11" spans="1:6">
      <c r="A11" s="348" t="s">
        <v>150</v>
      </c>
      <c r="B11" s="349">
        <v>1124</v>
      </c>
    </row>
    <row r="12" spans="1:6">
      <c r="A12" s="348" t="s">
        <v>145</v>
      </c>
      <c r="B12" s="350">
        <f>+(B11-B10)/B10</f>
        <v>-0.83766608896591566</v>
      </c>
    </row>
    <row r="13" spans="1:6">
      <c r="A13" s="351" t="s">
        <v>146</v>
      </c>
      <c r="B13" s="352">
        <f>+B10-B11</f>
        <v>5800</v>
      </c>
    </row>
    <row r="14" spans="1:6">
      <c r="F14" s="442"/>
    </row>
  </sheetData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C448-B466-44B0-9735-2355C7202ED9}">
  <sheetPr codeName="Hoja5">
    <tabColor theme="5" tint="-0.499984740745262"/>
  </sheetPr>
  <dimension ref="A2:AT74"/>
  <sheetViews>
    <sheetView topLeftCell="A3" zoomScaleNormal="100" workbookViewId="0">
      <pane xSplit="1" topLeftCell="AI1" activePane="topRight" state="frozen"/>
      <selection pane="topRight" activeCell="AM6" sqref="AM6:AO24"/>
    </sheetView>
  </sheetViews>
  <sheetFormatPr baseColWidth="10" defaultColWidth="10.86328125" defaultRowHeight="14.25"/>
  <cols>
    <col min="1" max="1" width="14.59765625" bestFit="1" customWidth="1"/>
    <col min="2" max="2" width="15.265625" hidden="1" customWidth="1"/>
    <col min="3" max="3" width="12.73046875" hidden="1" customWidth="1"/>
    <col min="4" max="4" width="14.86328125" hidden="1" customWidth="1"/>
    <col min="5" max="5" width="15.265625" style="1" hidden="1" customWidth="1"/>
    <col min="6" max="6" width="9.3984375" style="1" hidden="1" customWidth="1"/>
    <col min="7" max="8" width="10.59765625" style="1" hidden="1" customWidth="1"/>
    <col min="9" max="9" width="9.265625" style="1" hidden="1" customWidth="1"/>
    <col min="10" max="38" width="9.265625" style="1" customWidth="1"/>
    <col min="39" max="40" width="10.73046875" customWidth="1"/>
    <col min="41" max="41" width="10.265625" customWidth="1"/>
    <col min="43" max="43" width="27" bestFit="1" customWidth="1"/>
    <col min="44" max="44" width="10.86328125" style="1"/>
  </cols>
  <sheetData>
    <row r="2" spans="1:44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  <c r="AL2" s="404"/>
      <c r="AM2" s="404"/>
      <c r="AN2" s="404"/>
      <c r="AO2" s="404"/>
    </row>
    <row r="3" spans="1:44" ht="16.149999999999999">
      <c r="A3" s="381" t="s">
        <v>112</v>
      </c>
      <c r="B3" s="381"/>
      <c r="C3" s="381"/>
      <c r="D3" s="381"/>
      <c r="E3" s="381"/>
      <c r="F3" s="381"/>
      <c r="G3" s="381"/>
      <c r="H3" s="381"/>
      <c r="I3" s="381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</row>
    <row r="4" spans="1:44" ht="14.45" customHeight="1">
      <c r="A4" s="405" t="s">
        <v>0</v>
      </c>
      <c r="B4" s="401" t="s">
        <v>113</v>
      </c>
      <c r="C4" s="402"/>
      <c r="D4" s="402"/>
      <c r="E4" s="403"/>
      <c r="F4" s="401" t="s">
        <v>114</v>
      </c>
      <c r="G4" s="402"/>
      <c r="H4" s="402"/>
      <c r="I4" s="403"/>
      <c r="J4" s="401" t="s">
        <v>138</v>
      </c>
      <c r="K4" s="402"/>
      <c r="L4" s="402"/>
      <c r="M4" s="403"/>
      <c r="N4" s="401" t="s">
        <v>139</v>
      </c>
      <c r="O4" s="402"/>
      <c r="P4" s="402"/>
      <c r="Q4" s="403"/>
      <c r="R4" s="401" t="s">
        <v>140</v>
      </c>
      <c r="S4" s="402"/>
      <c r="T4" s="402"/>
      <c r="U4" s="403"/>
      <c r="V4" s="401" t="s">
        <v>152</v>
      </c>
      <c r="W4" s="402"/>
      <c r="X4" s="402"/>
      <c r="Y4" s="403"/>
      <c r="Z4" s="321"/>
      <c r="AA4" s="401" t="s">
        <v>156</v>
      </c>
      <c r="AB4" s="402"/>
      <c r="AC4" s="402"/>
      <c r="AD4" s="403"/>
      <c r="AE4" s="401" t="s">
        <v>157</v>
      </c>
      <c r="AF4" s="402"/>
      <c r="AG4" s="402"/>
      <c r="AH4" s="403"/>
      <c r="AI4" s="401" t="s">
        <v>120</v>
      </c>
      <c r="AJ4" s="402"/>
      <c r="AK4" s="402"/>
      <c r="AL4" s="403"/>
      <c r="AM4" s="401" t="s">
        <v>126</v>
      </c>
      <c r="AN4" s="402"/>
      <c r="AO4" s="402"/>
      <c r="AP4" s="403"/>
    </row>
    <row r="5" spans="1:44" ht="15" customHeight="1">
      <c r="A5" s="406"/>
      <c r="B5" s="52" t="s">
        <v>63</v>
      </c>
      <c r="C5" s="52" t="s">
        <v>62</v>
      </c>
      <c r="D5" s="52" t="s">
        <v>54</v>
      </c>
      <c r="E5" s="53" t="s">
        <v>53</v>
      </c>
      <c r="F5" s="52" t="s">
        <v>63</v>
      </c>
      <c r="G5" s="52" t="s">
        <v>62</v>
      </c>
      <c r="H5" s="53" t="s">
        <v>54</v>
      </c>
      <c r="I5" s="52" t="s">
        <v>53</v>
      </c>
      <c r="J5" s="52" t="s">
        <v>5</v>
      </c>
      <c r="K5" s="52" t="s">
        <v>6</v>
      </c>
      <c r="L5" s="53" t="s">
        <v>101</v>
      </c>
      <c r="M5" s="52" t="s">
        <v>91</v>
      </c>
      <c r="N5" s="52" t="s">
        <v>5</v>
      </c>
      <c r="O5" s="52" t="s">
        <v>6</v>
      </c>
      <c r="P5" s="53" t="s">
        <v>101</v>
      </c>
      <c r="Q5" s="52" t="s">
        <v>91</v>
      </c>
      <c r="R5" s="52" t="s">
        <v>5</v>
      </c>
      <c r="S5" s="52" t="s">
        <v>6</v>
      </c>
      <c r="T5" s="53" t="s">
        <v>101</v>
      </c>
      <c r="U5" s="52" t="s">
        <v>91</v>
      </c>
      <c r="V5" s="52" t="s">
        <v>5</v>
      </c>
      <c r="W5" s="52" t="s">
        <v>6</v>
      </c>
      <c r="X5" s="53" t="s">
        <v>101</v>
      </c>
      <c r="Y5" s="52" t="s">
        <v>91</v>
      </c>
      <c r="Z5" s="336"/>
      <c r="AA5" s="52" t="s">
        <v>5</v>
      </c>
      <c r="AB5" s="52" t="s">
        <v>6</v>
      </c>
      <c r="AC5" s="53" t="s">
        <v>101</v>
      </c>
      <c r="AD5" s="52" t="s">
        <v>91</v>
      </c>
      <c r="AE5" s="52" t="s">
        <v>5</v>
      </c>
      <c r="AF5" s="52" t="s">
        <v>6</v>
      </c>
      <c r="AG5" s="53" t="s">
        <v>101</v>
      </c>
      <c r="AH5" s="52" t="s">
        <v>91</v>
      </c>
      <c r="AI5" s="52" t="s">
        <v>5</v>
      </c>
      <c r="AJ5" s="52" t="s">
        <v>6</v>
      </c>
      <c r="AK5" s="53" t="s">
        <v>101</v>
      </c>
      <c r="AL5" s="52" t="s">
        <v>91</v>
      </c>
      <c r="AM5" s="52" t="s">
        <v>5</v>
      </c>
      <c r="AN5" s="52" t="s">
        <v>6</v>
      </c>
      <c r="AO5" s="53" t="s">
        <v>101</v>
      </c>
      <c r="AP5" s="52" t="s">
        <v>91</v>
      </c>
    </row>
    <row r="6" spans="1:44" ht="15.4">
      <c r="A6" s="54" t="s">
        <v>12</v>
      </c>
      <c r="B6" s="301">
        <v>11</v>
      </c>
      <c r="C6" s="277">
        <v>87</v>
      </c>
      <c r="D6" s="255">
        <f t="shared" ref="D6:D24" si="0">+B6+C6</f>
        <v>98</v>
      </c>
      <c r="E6" s="277">
        <v>1796</v>
      </c>
      <c r="F6" s="301">
        <v>15</v>
      </c>
      <c r="G6" s="277">
        <v>1281</v>
      </c>
      <c r="H6" s="255">
        <f t="shared" ref="H6:H24" si="1">+F6+G6</f>
        <v>1296</v>
      </c>
      <c r="I6" s="319">
        <v>5254</v>
      </c>
      <c r="J6" s="255"/>
      <c r="K6" s="255">
        <v>325</v>
      </c>
      <c r="L6" s="255">
        <f t="shared" ref="L6:L24" si="2">+J6+K6</f>
        <v>325</v>
      </c>
      <c r="M6" s="255">
        <v>53</v>
      </c>
      <c r="N6" s="255">
        <v>12</v>
      </c>
      <c r="O6" s="255">
        <v>382</v>
      </c>
      <c r="P6" s="255">
        <f t="shared" ref="P6:P24" si="3">+N6+O6</f>
        <v>394</v>
      </c>
      <c r="Q6" s="255">
        <v>354</v>
      </c>
      <c r="R6" s="255">
        <v>12</v>
      </c>
      <c r="S6" s="255">
        <v>383</v>
      </c>
      <c r="T6" s="255">
        <f t="shared" ref="T6:T24" si="4">+R6+S6</f>
        <v>395</v>
      </c>
      <c r="U6" s="255">
        <v>355</v>
      </c>
      <c r="V6" s="255">
        <f t="shared" ref="V6:V24" si="5">+J6+N6+R6</f>
        <v>24</v>
      </c>
      <c r="W6" s="255">
        <f t="shared" ref="W6:W24" si="6">+K6+O6+S6</f>
        <v>1090</v>
      </c>
      <c r="X6" s="255">
        <f t="shared" ref="X6:X24" si="7">+L6+P6+T6</f>
        <v>1114</v>
      </c>
      <c r="Y6" s="255">
        <f t="shared" ref="Y6:Y24" si="8">+M6+Q6+U6</f>
        <v>762</v>
      </c>
      <c r="Z6" s="339">
        <f t="shared" ref="Z6:Z24" si="9">+Y6/$Y$25</f>
        <v>0.11005199306759099</v>
      </c>
      <c r="AA6" s="255" t="s">
        <v>121</v>
      </c>
      <c r="AB6" s="255">
        <v>46</v>
      </c>
      <c r="AC6" s="255">
        <f>+AA6+AB6</f>
        <v>46</v>
      </c>
      <c r="AD6" s="255">
        <v>46</v>
      </c>
      <c r="AE6" s="255">
        <v>0</v>
      </c>
      <c r="AF6" s="255">
        <v>448</v>
      </c>
      <c r="AG6" s="255">
        <f>+AE6+AF6</f>
        <v>448</v>
      </c>
      <c r="AH6" s="255">
        <v>30</v>
      </c>
      <c r="AI6" s="255">
        <v>0</v>
      </c>
      <c r="AJ6" s="255">
        <v>50</v>
      </c>
      <c r="AK6" s="255">
        <f>+AI6+AJ6</f>
        <v>50</v>
      </c>
      <c r="AL6" s="255">
        <v>38</v>
      </c>
      <c r="AM6" s="277">
        <f>SUM(AI6,AE6,AA6)</f>
        <v>0</v>
      </c>
      <c r="AN6" s="277">
        <f>SUM(AB6,AF6,AJ6)</f>
        <v>544</v>
      </c>
      <c r="AO6" s="277">
        <f t="shared" ref="AN6:AO6" si="10">SUM(AK6,AG6,AC6)</f>
        <v>544</v>
      </c>
      <c r="AP6" s="443">
        <f>SUM(AL6,AH6,AD6)</f>
        <v>114</v>
      </c>
      <c r="AQ6" s="340" t="s">
        <v>143</v>
      </c>
      <c r="AR6" s="341">
        <f>+L25+M25+P25+Q25+T25+U25</f>
        <v>17431</v>
      </c>
    </row>
    <row r="7" spans="1:44" ht="15.4">
      <c r="A7" s="54" t="s">
        <v>13</v>
      </c>
      <c r="B7" s="301">
        <v>2</v>
      </c>
      <c r="C7" s="277">
        <v>0</v>
      </c>
      <c r="D7" s="255">
        <f t="shared" si="0"/>
        <v>2</v>
      </c>
      <c r="E7" s="277">
        <v>484</v>
      </c>
      <c r="F7" s="301">
        <v>5</v>
      </c>
      <c r="G7" s="277">
        <v>580</v>
      </c>
      <c r="H7" s="255">
        <f t="shared" si="1"/>
        <v>585</v>
      </c>
      <c r="I7" s="277">
        <v>932</v>
      </c>
      <c r="J7" s="255">
        <v>3</v>
      </c>
      <c r="K7" s="255">
        <v>266</v>
      </c>
      <c r="L7" s="255">
        <f t="shared" si="2"/>
        <v>269</v>
      </c>
      <c r="M7" s="255">
        <v>98</v>
      </c>
      <c r="N7" s="255">
        <v>3</v>
      </c>
      <c r="O7" s="255">
        <v>266</v>
      </c>
      <c r="P7" s="255">
        <f t="shared" si="3"/>
        <v>269</v>
      </c>
      <c r="Q7" s="255">
        <v>143</v>
      </c>
      <c r="R7" s="255">
        <v>3</v>
      </c>
      <c r="S7" s="255">
        <v>266</v>
      </c>
      <c r="T7" s="255">
        <f t="shared" si="4"/>
        <v>269</v>
      </c>
      <c r="U7" s="255">
        <v>252</v>
      </c>
      <c r="V7" s="255">
        <f t="shared" si="5"/>
        <v>9</v>
      </c>
      <c r="W7" s="255">
        <f t="shared" si="6"/>
        <v>798</v>
      </c>
      <c r="X7" s="255">
        <f t="shared" si="7"/>
        <v>807</v>
      </c>
      <c r="Y7" s="255">
        <f t="shared" si="8"/>
        <v>493</v>
      </c>
      <c r="Z7" s="337">
        <f t="shared" si="9"/>
        <v>7.1201617562102831E-2</v>
      </c>
      <c r="AA7" s="255" t="s">
        <v>121</v>
      </c>
      <c r="AB7" s="255" t="s">
        <v>121</v>
      </c>
      <c r="AC7" s="255">
        <f t="shared" ref="AC7:AC24" si="11">+AA7+AB7</f>
        <v>0</v>
      </c>
      <c r="AD7" s="255" t="s">
        <v>121</v>
      </c>
      <c r="AE7" s="255">
        <v>0</v>
      </c>
      <c r="AF7" s="255">
        <v>102</v>
      </c>
      <c r="AG7" s="255">
        <f t="shared" ref="AG7:AG24" si="12">+AE7+AF7</f>
        <v>102</v>
      </c>
      <c r="AH7" s="255">
        <v>24</v>
      </c>
      <c r="AI7" s="255">
        <v>0</v>
      </c>
      <c r="AJ7" s="255" t="s">
        <v>121</v>
      </c>
      <c r="AK7" s="255">
        <f t="shared" ref="AK7:AK24" si="13">+AI7+AJ7</f>
        <v>0</v>
      </c>
      <c r="AL7" s="255" t="s">
        <v>121</v>
      </c>
      <c r="AM7" s="277">
        <f t="shared" ref="AM7:AM24" si="14">SUM(AI7,AE7,AA7)</f>
        <v>0</v>
      </c>
      <c r="AN7" s="277">
        <f t="shared" ref="AN7:AN24" si="15">SUM(AB7,AF7,AJ7)</f>
        <v>102</v>
      </c>
      <c r="AO7" s="255">
        <f t="shared" ref="AO6:AO24" si="16">+AM7+AN7</f>
        <v>102</v>
      </c>
      <c r="AP7" s="443">
        <f t="shared" ref="AP7:AP24" si="17">SUM(AL7,AH7,AD7)</f>
        <v>24</v>
      </c>
      <c r="AQ7" s="340" t="s">
        <v>144</v>
      </c>
      <c r="AR7" s="341">
        <f>+AO25+AP25</f>
        <v>13538</v>
      </c>
    </row>
    <row r="8" spans="1:44" ht="15.4">
      <c r="A8" s="54" t="s">
        <v>14</v>
      </c>
      <c r="B8" s="301">
        <v>5</v>
      </c>
      <c r="C8" s="277">
        <v>1</v>
      </c>
      <c r="D8" s="255">
        <f t="shared" si="0"/>
        <v>6</v>
      </c>
      <c r="E8" s="277">
        <v>62</v>
      </c>
      <c r="F8" s="301">
        <v>148</v>
      </c>
      <c r="G8" s="277">
        <v>1108</v>
      </c>
      <c r="H8" s="255">
        <f t="shared" si="1"/>
        <v>1256</v>
      </c>
      <c r="I8" s="277">
        <v>910</v>
      </c>
      <c r="J8" s="255"/>
      <c r="K8" s="255"/>
      <c r="L8" s="255">
        <f t="shared" si="2"/>
        <v>0</v>
      </c>
      <c r="M8" s="255"/>
      <c r="N8" s="255">
        <v>1</v>
      </c>
      <c r="O8" s="255">
        <v>0</v>
      </c>
      <c r="P8" s="255">
        <f t="shared" si="3"/>
        <v>1</v>
      </c>
      <c r="Q8" s="255">
        <v>1</v>
      </c>
      <c r="R8" s="255">
        <v>2</v>
      </c>
      <c r="S8" s="255">
        <v>198</v>
      </c>
      <c r="T8" s="255">
        <f t="shared" si="4"/>
        <v>200</v>
      </c>
      <c r="U8" s="255">
        <v>2</v>
      </c>
      <c r="V8" s="255">
        <f t="shared" si="5"/>
        <v>3</v>
      </c>
      <c r="W8" s="255">
        <f t="shared" si="6"/>
        <v>198</v>
      </c>
      <c r="X8" s="255">
        <f t="shared" si="7"/>
        <v>201</v>
      </c>
      <c r="Y8" s="255">
        <f t="shared" si="8"/>
        <v>3</v>
      </c>
      <c r="Z8" s="337">
        <f t="shared" si="9"/>
        <v>4.3327556325823221E-4</v>
      </c>
      <c r="AA8" s="255" t="s">
        <v>121</v>
      </c>
      <c r="AB8" s="255">
        <v>0</v>
      </c>
      <c r="AC8" s="255">
        <f t="shared" si="11"/>
        <v>0</v>
      </c>
      <c r="AD8" s="255">
        <v>0</v>
      </c>
      <c r="AE8" s="255" t="s">
        <v>121</v>
      </c>
      <c r="AF8" s="255" t="s">
        <v>121</v>
      </c>
      <c r="AG8" s="255">
        <f t="shared" si="12"/>
        <v>0</v>
      </c>
      <c r="AH8" s="255" t="s">
        <v>121</v>
      </c>
      <c r="AI8" s="255">
        <v>0</v>
      </c>
      <c r="AJ8" s="255" t="s">
        <v>121</v>
      </c>
      <c r="AK8" s="255">
        <f t="shared" si="13"/>
        <v>0</v>
      </c>
      <c r="AL8" s="255" t="s">
        <v>121</v>
      </c>
      <c r="AM8" s="277">
        <f t="shared" si="14"/>
        <v>0</v>
      </c>
      <c r="AN8" s="277">
        <f t="shared" si="15"/>
        <v>0</v>
      </c>
      <c r="AO8" s="255">
        <f t="shared" si="16"/>
        <v>0</v>
      </c>
      <c r="AP8" s="443">
        <f t="shared" si="17"/>
        <v>0</v>
      </c>
      <c r="AQ8" s="340" t="s">
        <v>145</v>
      </c>
      <c r="AR8" s="342">
        <f>+(AR7-AR6)/AR6</f>
        <v>-0.2233377316275601</v>
      </c>
    </row>
    <row r="9" spans="1:44" ht="15.4">
      <c r="A9" s="54" t="s">
        <v>15</v>
      </c>
      <c r="B9" s="301">
        <v>82</v>
      </c>
      <c r="C9" s="277">
        <v>456</v>
      </c>
      <c r="D9" s="255">
        <f t="shared" si="0"/>
        <v>538</v>
      </c>
      <c r="E9" s="277">
        <v>49</v>
      </c>
      <c r="F9" s="301">
        <v>64</v>
      </c>
      <c r="G9" s="277">
        <v>333</v>
      </c>
      <c r="H9" s="255">
        <f t="shared" si="1"/>
        <v>397</v>
      </c>
      <c r="I9" s="277">
        <v>8</v>
      </c>
      <c r="J9" s="255">
        <v>1</v>
      </c>
      <c r="K9" s="255">
        <v>4</v>
      </c>
      <c r="L9" s="255">
        <f t="shared" si="2"/>
        <v>5</v>
      </c>
      <c r="M9" s="255"/>
      <c r="N9" s="255">
        <v>4</v>
      </c>
      <c r="O9" s="255">
        <v>50</v>
      </c>
      <c r="P9" s="255">
        <f t="shared" si="3"/>
        <v>54</v>
      </c>
      <c r="Q9" s="255">
        <v>1</v>
      </c>
      <c r="R9" s="255">
        <v>8</v>
      </c>
      <c r="S9" s="255">
        <v>52</v>
      </c>
      <c r="T9" s="255">
        <f t="shared" si="4"/>
        <v>60</v>
      </c>
      <c r="U9" s="255">
        <v>2</v>
      </c>
      <c r="V9" s="255">
        <f t="shared" si="5"/>
        <v>13</v>
      </c>
      <c r="W9" s="255">
        <f t="shared" si="6"/>
        <v>106</v>
      </c>
      <c r="X9" s="255">
        <f t="shared" si="7"/>
        <v>119</v>
      </c>
      <c r="Y9" s="255">
        <f t="shared" si="8"/>
        <v>3</v>
      </c>
      <c r="Z9" s="337">
        <f t="shared" si="9"/>
        <v>4.3327556325823221E-4</v>
      </c>
      <c r="AA9" s="255" t="s">
        <v>121</v>
      </c>
      <c r="AB9" s="255">
        <v>0</v>
      </c>
      <c r="AC9" s="255">
        <f t="shared" si="11"/>
        <v>0</v>
      </c>
      <c r="AD9" s="255">
        <v>0</v>
      </c>
      <c r="AE9" s="255">
        <v>0</v>
      </c>
      <c r="AF9" s="255">
        <v>0</v>
      </c>
      <c r="AG9" s="255">
        <f t="shared" si="12"/>
        <v>0</v>
      </c>
      <c r="AH9" s="255">
        <v>348</v>
      </c>
      <c r="AI9" s="255">
        <v>0</v>
      </c>
      <c r="AJ9" s="255">
        <v>0</v>
      </c>
      <c r="AK9" s="255">
        <f t="shared" si="13"/>
        <v>0</v>
      </c>
      <c r="AL9" s="255">
        <v>0</v>
      </c>
      <c r="AM9" s="277">
        <f t="shared" si="14"/>
        <v>0</v>
      </c>
      <c r="AN9" s="277">
        <f t="shared" si="15"/>
        <v>0</v>
      </c>
      <c r="AO9" s="255">
        <f t="shared" si="16"/>
        <v>0</v>
      </c>
      <c r="AP9" s="443">
        <f t="shared" si="17"/>
        <v>348</v>
      </c>
      <c r="AQ9" s="340" t="s">
        <v>146</v>
      </c>
      <c r="AR9" s="341">
        <f>+AR6-AR7</f>
        <v>3893</v>
      </c>
    </row>
    <row r="10" spans="1:44" ht="15.4">
      <c r="A10" s="54" t="s">
        <v>4</v>
      </c>
      <c r="B10" s="301">
        <v>234</v>
      </c>
      <c r="C10" s="277">
        <v>1167</v>
      </c>
      <c r="D10" s="255">
        <f t="shared" si="0"/>
        <v>1401</v>
      </c>
      <c r="E10" s="277">
        <v>256</v>
      </c>
      <c r="F10" s="301">
        <v>1776</v>
      </c>
      <c r="G10" s="277">
        <v>1535</v>
      </c>
      <c r="H10" s="255">
        <f t="shared" si="1"/>
        <v>3311</v>
      </c>
      <c r="I10" s="277">
        <v>1</v>
      </c>
      <c r="J10" s="255">
        <v>6</v>
      </c>
      <c r="K10" s="255"/>
      <c r="L10" s="255">
        <f t="shared" si="2"/>
        <v>6</v>
      </c>
      <c r="M10" s="255"/>
      <c r="N10" s="255">
        <v>16</v>
      </c>
      <c r="O10" s="255">
        <v>7</v>
      </c>
      <c r="P10" s="255">
        <f t="shared" si="3"/>
        <v>23</v>
      </c>
      <c r="Q10" s="255">
        <v>0</v>
      </c>
      <c r="R10" s="255">
        <v>21</v>
      </c>
      <c r="S10" s="255">
        <v>227</v>
      </c>
      <c r="T10" s="255">
        <f t="shared" si="4"/>
        <v>248</v>
      </c>
      <c r="U10" s="255">
        <v>0</v>
      </c>
      <c r="V10" s="255">
        <f t="shared" si="5"/>
        <v>43</v>
      </c>
      <c r="W10" s="255">
        <f t="shared" si="6"/>
        <v>234</v>
      </c>
      <c r="X10" s="255">
        <f t="shared" si="7"/>
        <v>277</v>
      </c>
      <c r="Y10" s="255">
        <f t="shared" si="8"/>
        <v>0</v>
      </c>
      <c r="Z10" s="337">
        <f t="shared" si="9"/>
        <v>0</v>
      </c>
      <c r="AA10" s="255" t="s">
        <v>121</v>
      </c>
      <c r="AB10" s="255">
        <v>0</v>
      </c>
      <c r="AC10" s="255">
        <f t="shared" si="11"/>
        <v>0</v>
      </c>
      <c r="AD10" s="255">
        <v>0</v>
      </c>
      <c r="AE10" s="255">
        <v>6</v>
      </c>
      <c r="AF10" s="255">
        <v>0</v>
      </c>
      <c r="AG10" s="255">
        <f t="shared" si="12"/>
        <v>6</v>
      </c>
      <c r="AH10" s="255">
        <v>0</v>
      </c>
      <c r="AI10" s="255">
        <v>84</v>
      </c>
      <c r="AJ10" s="255">
        <v>84</v>
      </c>
      <c r="AK10" s="255">
        <f t="shared" si="13"/>
        <v>168</v>
      </c>
      <c r="AL10" s="255">
        <v>0</v>
      </c>
      <c r="AM10" s="277">
        <f t="shared" si="14"/>
        <v>90</v>
      </c>
      <c r="AN10" s="277">
        <f t="shared" si="15"/>
        <v>84</v>
      </c>
      <c r="AO10" s="255">
        <f t="shared" si="16"/>
        <v>174</v>
      </c>
      <c r="AP10" s="443">
        <f t="shared" si="17"/>
        <v>0</v>
      </c>
      <c r="AR10" s="343"/>
    </row>
    <row r="11" spans="1:44" ht="15.4">
      <c r="A11" s="54" t="s">
        <v>8</v>
      </c>
      <c r="B11" s="301">
        <v>1</v>
      </c>
      <c r="C11" s="277">
        <v>6</v>
      </c>
      <c r="D11" s="255">
        <f t="shared" si="0"/>
        <v>7</v>
      </c>
      <c r="E11" s="277">
        <v>95</v>
      </c>
      <c r="F11" s="301">
        <v>4</v>
      </c>
      <c r="G11" s="277">
        <v>21</v>
      </c>
      <c r="H11" s="255">
        <f t="shared" si="1"/>
        <v>25</v>
      </c>
      <c r="I11" s="277">
        <v>92</v>
      </c>
      <c r="J11" s="255"/>
      <c r="K11" s="255">
        <v>6</v>
      </c>
      <c r="L11" s="255">
        <f t="shared" si="2"/>
        <v>6</v>
      </c>
      <c r="M11" s="255">
        <v>8</v>
      </c>
      <c r="N11" s="255">
        <v>0</v>
      </c>
      <c r="O11" s="255">
        <v>6</v>
      </c>
      <c r="P11" s="255">
        <f t="shared" si="3"/>
        <v>6</v>
      </c>
      <c r="Q11" s="255">
        <v>24</v>
      </c>
      <c r="R11" s="255">
        <v>0</v>
      </c>
      <c r="S11" s="255">
        <v>6</v>
      </c>
      <c r="T11" s="255">
        <f t="shared" si="4"/>
        <v>6</v>
      </c>
      <c r="U11" s="255">
        <v>24</v>
      </c>
      <c r="V11" s="255">
        <f t="shared" si="5"/>
        <v>0</v>
      </c>
      <c r="W11" s="255">
        <f t="shared" si="6"/>
        <v>18</v>
      </c>
      <c r="X11" s="255">
        <f t="shared" si="7"/>
        <v>18</v>
      </c>
      <c r="Y11" s="255">
        <f t="shared" si="8"/>
        <v>56</v>
      </c>
      <c r="Z11" s="337">
        <f t="shared" si="9"/>
        <v>8.0878105141536684E-3</v>
      </c>
      <c r="AA11" s="255" t="s">
        <v>121</v>
      </c>
      <c r="AB11" s="255">
        <v>0</v>
      </c>
      <c r="AC11" s="255">
        <f t="shared" si="11"/>
        <v>0</v>
      </c>
      <c r="AD11" s="255">
        <v>0</v>
      </c>
      <c r="AE11" s="255">
        <v>0</v>
      </c>
      <c r="AF11" s="255">
        <v>0</v>
      </c>
      <c r="AG11" s="255">
        <f t="shared" si="12"/>
        <v>0</v>
      </c>
      <c r="AH11" s="255">
        <v>0</v>
      </c>
      <c r="AI11" s="255">
        <v>18</v>
      </c>
      <c r="AJ11" s="255">
        <v>18</v>
      </c>
      <c r="AK11" s="255">
        <f t="shared" si="13"/>
        <v>36</v>
      </c>
      <c r="AL11" s="255">
        <v>0</v>
      </c>
      <c r="AM11" s="277">
        <f t="shared" si="14"/>
        <v>18</v>
      </c>
      <c r="AN11" s="277">
        <f t="shared" si="15"/>
        <v>18</v>
      </c>
      <c r="AO11" s="255">
        <f t="shared" si="16"/>
        <v>36</v>
      </c>
      <c r="AP11" s="443">
        <f t="shared" si="17"/>
        <v>0</v>
      </c>
      <c r="AQ11" s="340" t="s">
        <v>147</v>
      </c>
      <c r="AR11" s="341">
        <f>+L25+P25+T25</f>
        <v>10507</v>
      </c>
    </row>
    <row r="12" spans="1:44" ht="15.4">
      <c r="A12" s="54" t="s">
        <v>1</v>
      </c>
      <c r="B12" s="301">
        <v>202</v>
      </c>
      <c r="C12" s="277">
        <v>1232</v>
      </c>
      <c r="D12" s="255">
        <f t="shared" si="0"/>
        <v>1434</v>
      </c>
      <c r="E12" s="277">
        <v>485</v>
      </c>
      <c r="F12" s="301">
        <v>881</v>
      </c>
      <c r="G12" s="277">
        <v>1871</v>
      </c>
      <c r="H12" s="255">
        <f t="shared" si="1"/>
        <v>2752</v>
      </c>
      <c r="I12" s="277">
        <v>60</v>
      </c>
      <c r="J12" s="255">
        <v>25</v>
      </c>
      <c r="K12" s="255">
        <v>53</v>
      </c>
      <c r="L12" s="255">
        <f t="shared" si="2"/>
        <v>78</v>
      </c>
      <c r="M12" s="255"/>
      <c r="N12" s="255">
        <v>49</v>
      </c>
      <c r="O12" s="255">
        <v>55</v>
      </c>
      <c r="P12" s="255">
        <f t="shared" si="3"/>
        <v>104</v>
      </c>
      <c r="Q12" s="255">
        <v>1</v>
      </c>
      <c r="R12" s="255">
        <v>49</v>
      </c>
      <c r="S12" s="255">
        <v>69</v>
      </c>
      <c r="T12" s="255">
        <f t="shared" si="4"/>
        <v>118</v>
      </c>
      <c r="U12" s="255">
        <v>16</v>
      </c>
      <c r="V12" s="255">
        <f t="shared" si="5"/>
        <v>123</v>
      </c>
      <c r="W12" s="255">
        <f t="shared" si="6"/>
        <v>177</v>
      </c>
      <c r="X12" s="255">
        <f t="shared" si="7"/>
        <v>300</v>
      </c>
      <c r="Y12" s="255">
        <f t="shared" si="8"/>
        <v>17</v>
      </c>
      <c r="Z12" s="337">
        <f t="shared" si="9"/>
        <v>2.4552281917966491E-3</v>
      </c>
      <c r="AA12" s="255" t="s">
        <v>121</v>
      </c>
      <c r="AB12" s="255">
        <v>0</v>
      </c>
      <c r="AC12" s="255">
        <f t="shared" si="11"/>
        <v>0</v>
      </c>
      <c r="AD12" s="255">
        <v>0</v>
      </c>
      <c r="AE12" s="255">
        <v>674</v>
      </c>
      <c r="AF12" s="255">
        <v>0</v>
      </c>
      <c r="AG12" s="255">
        <f t="shared" si="12"/>
        <v>674</v>
      </c>
      <c r="AH12" s="255">
        <v>0</v>
      </c>
      <c r="AI12" s="255">
        <v>1</v>
      </c>
      <c r="AJ12" s="255">
        <v>1</v>
      </c>
      <c r="AK12" s="255">
        <f t="shared" si="13"/>
        <v>2</v>
      </c>
      <c r="AL12" s="255">
        <v>0</v>
      </c>
      <c r="AM12" s="277">
        <f t="shared" si="14"/>
        <v>675</v>
      </c>
      <c r="AN12" s="277">
        <f t="shared" si="15"/>
        <v>1</v>
      </c>
      <c r="AO12" s="255">
        <f t="shared" si="16"/>
        <v>676</v>
      </c>
      <c r="AP12" s="443">
        <f t="shared" si="17"/>
        <v>0</v>
      </c>
      <c r="AQ12" s="340" t="s">
        <v>148</v>
      </c>
      <c r="AR12" s="341">
        <f>+AO25</f>
        <v>12414</v>
      </c>
    </row>
    <row r="13" spans="1:44" ht="15.4">
      <c r="A13" s="54" t="s">
        <v>2</v>
      </c>
      <c r="B13" s="301">
        <v>6</v>
      </c>
      <c r="C13" s="277">
        <v>1314</v>
      </c>
      <c r="D13" s="255">
        <f t="shared" si="0"/>
        <v>1320</v>
      </c>
      <c r="E13" s="277">
        <v>2619</v>
      </c>
      <c r="F13" s="301">
        <v>107</v>
      </c>
      <c r="G13" s="277">
        <v>1786</v>
      </c>
      <c r="H13" s="255">
        <f t="shared" si="1"/>
        <v>1893</v>
      </c>
      <c r="I13" s="277">
        <v>711</v>
      </c>
      <c r="J13" s="255"/>
      <c r="K13" s="255"/>
      <c r="L13" s="255">
        <f t="shared" si="2"/>
        <v>0</v>
      </c>
      <c r="M13" s="255">
        <v>8</v>
      </c>
      <c r="N13" s="255">
        <v>1</v>
      </c>
      <c r="O13" s="255">
        <v>0</v>
      </c>
      <c r="P13" s="255">
        <f t="shared" si="3"/>
        <v>1</v>
      </c>
      <c r="Q13" s="255">
        <v>25</v>
      </c>
      <c r="R13" s="255">
        <v>1</v>
      </c>
      <c r="S13" s="255">
        <v>0</v>
      </c>
      <c r="T13" s="255">
        <f t="shared" si="4"/>
        <v>1</v>
      </c>
      <c r="U13" s="255">
        <v>244</v>
      </c>
      <c r="V13" s="255">
        <f t="shared" si="5"/>
        <v>2</v>
      </c>
      <c r="W13" s="255">
        <f t="shared" si="6"/>
        <v>0</v>
      </c>
      <c r="X13" s="255">
        <f t="shared" si="7"/>
        <v>2</v>
      </c>
      <c r="Y13" s="255">
        <f t="shared" si="8"/>
        <v>277</v>
      </c>
      <c r="Z13" s="337">
        <f t="shared" si="9"/>
        <v>4.000577700751011E-2</v>
      </c>
      <c r="AA13" s="255" t="s">
        <v>121</v>
      </c>
      <c r="AB13" s="255">
        <v>0</v>
      </c>
      <c r="AC13" s="255">
        <f t="shared" si="11"/>
        <v>0</v>
      </c>
      <c r="AD13" s="255">
        <v>0</v>
      </c>
      <c r="AE13" s="255">
        <v>0</v>
      </c>
      <c r="AF13" s="255">
        <v>20</v>
      </c>
      <c r="AG13" s="255">
        <f t="shared" si="12"/>
        <v>20</v>
      </c>
      <c r="AH13" s="255">
        <v>0</v>
      </c>
      <c r="AI13" s="255">
        <v>1</v>
      </c>
      <c r="AJ13" s="255">
        <v>1</v>
      </c>
      <c r="AK13" s="255">
        <f t="shared" si="13"/>
        <v>2</v>
      </c>
      <c r="AL13" s="255">
        <v>0</v>
      </c>
      <c r="AM13" s="277">
        <f t="shared" si="14"/>
        <v>1</v>
      </c>
      <c r="AN13" s="277">
        <f t="shared" si="15"/>
        <v>21</v>
      </c>
      <c r="AO13" s="255">
        <f t="shared" si="16"/>
        <v>22</v>
      </c>
      <c r="AP13" s="443">
        <f t="shared" si="17"/>
        <v>0</v>
      </c>
      <c r="AQ13" s="340" t="s">
        <v>145</v>
      </c>
      <c r="AR13" s="342">
        <f>+(AR12-AR11)/AR11</f>
        <v>0.18149804891976778</v>
      </c>
    </row>
    <row r="14" spans="1:44" ht="15.4">
      <c r="A14" s="54" t="s">
        <v>16</v>
      </c>
      <c r="B14" s="301">
        <v>0</v>
      </c>
      <c r="C14" s="277">
        <v>1374</v>
      </c>
      <c r="D14" s="255">
        <f t="shared" si="0"/>
        <v>1374</v>
      </c>
      <c r="E14" s="277">
        <v>1380</v>
      </c>
      <c r="F14" s="301">
        <v>1803</v>
      </c>
      <c r="G14" s="277">
        <v>6128</v>
      </c>
      <c r="H14" s="255">
        <f t="shared" si="1"/>
        <v>7931</v>
      </c>
      <c r="I14" s="319">
        <v>1897</v>
      </c>
      <c r="J14" s="255"/>
      <c r="K14" s="255">
        <v>837</v>
      </c>
      <c r="L14" s="255">
        <f t="shared" si="2"/>
        <v>837</v>
      </c>
      <c r="M14" s="255">
        <v>154</v>
      </c>
      <c r="N14" s="255">
        <v>0</v>
      </c>
      <c r="O14" s="255">
        <v>1125</v>
      </c>
      <c r="P14" s="255">
        <f t="shared" si="3"/>
        <v>1125</v>
      </c>
      <c r="Q14" s="255">
        <v>658</v>
      </c>
      <c r="R14" s="255">
        <v>0</v>
      </c>
      <c r="S14" s="255">
        <v>1942</v>
      </c>
      <c r="T14" s="255">
        <f t="shared" si="4"/>
        <v>1942</v>
      </c>
      <c r="U14" s="255">
        <v>1360</v>
      </c>
      <c r="V14" s="255">
        <f t="shared" si="5"/>
        <v>0</v>
      </c>
      <c r="W14" s="255">
        <f t="shared" si="6"/>
        <v>3904</v>
      </c>
      <c r="X14" s="255">
        <f t="shared" si="7"/>
        <v>3904</v>
      </c>
      <c r="Y14" s="255">
        <f t="shared" si="8"/>
        <v>2172</v>
      </c>
      <c r="Z14" s="339">
        <f t="shared" si="9"/>
        <v>0.31369150779896016</v>
      </c>
      <c r="AA14" s="255">
        <v>1417</v>
      </c>
      <c r="AB14" s="255">
        <v>198</v>
      </c>
      <c r="AC14" s="255">
        <f t="shared" si="11"/>
        <v>1615</v>
      </c>
      <c r="AD14" s="255">
        <v>198</v>
      </c>
      <c r="AE14" s="255">
        <v>522</v>
      </c>
      <c r="AF14" s="255">
        <v>641</v>
      </c>
      <c r="AG14" s="255">
        <f t="shared" si="12"/>
        <v>1163</v>
      </c>
      <c r="AH14" s="255">
        <v>0</v>
      </c>
      <c r="AI14" s="255">
        <v>1238</v>
      </c>
      <c r="AJ14" s="255">
        <v>1238</v>
      </c>
      <c r="AK14" s="255">
        <f t="shared" si="13"/>
        <v>2476</v>
      </c>
      <c r="AL14" s="255">
        <v>0</v>
      </c>
      <c r="AM14" s="277">
        <f t="shared" si="14"/>
        <v>3177</v>
      </c>
      <c r="AN14" s="277">
        <f t="shared" si="15"/>
        <v>2077</v>
      </c>
      <c r="AO14" s="255">
        <f t="shared" si="16"/>
        <v>5254</v>
      </c>
      <c r="AP14" s="443">
        <f t="shared" si="17"/>
        <v>198</v>
      </c>
      <c r="AQ14" s="340" t="s">
        <v>146</v>
      </c>
      <c r="AR14" s="341">
        <f>+AR11-AR12</f>
        <v>-1907</v>
      </c>
    </row>
    <row r="15" spans="1:44" ht="15.4">
      <c r="A15" s="54" t="s">
        <v>7</v>
      </c>
      <c r="B15" s="301">
        <v>21</v>
      </c>
      <c r="C15" s="277">
        <v>175</v>
      </c>
      <c r="D15" s="255">
        <f t="shared" si="0"/>
        <v>196</v>
      </c>
      <c r="E15" s="277">
        <v>911</v>
      </c>
      <c r="F15" s="301">
        <v>16</v>
      </c>
      <c r="G15" s="277">
        <v>596</v>
      </c>
      <c r="H15" s="255">
        <f t="shared" si="1"/>
        <v>612</v>
      </c>
      <c r="I15" s="277">
        <v>574</v>
      </c>
      <c r="J15" s="255">
        <v>1</v>
      </c>
      <c r="K15" s="255">
        <v>33</v>
      </c>
      <c r="L15" s="255">
        <f t="shared" si="2"/>
        <v>34</v>
      </c>
      <c r="M15" s="255">
        <v>41</v>
      </c>
      <c r="N15" s="255">
        <v>2</v>
      </c>
      <c r="O15" s="255">
        <v>66</v>
      </c>
      <c r="P15" s="255">
        <f t="shared" si="3"/>
        <v>68</v>
      </c>
      <c r="Q15" s="255">
        <v>82</v>
      </c>
      <c r="R15" s="255">
        <v>2</v>
      </c>
      <c r="S15" s="255">
        <v>68</v>
      </c>
      <c r="T15" s="255">
        <f t="shared" si="4"/>
        <v>70</v>
      </c>
      <c r="U15" s="255">
        <v>107</v>
      </c>
      <c r="V15" s="255">
        <f t="shared" si="5"/>
        <v>5</v>
      </c>
      <c r="W15" s="255">
        <f t="shared" si="6"/>
        <v>167</v>
      </c>
      <c r="X15" s="255">
        <f t="shared" si="7"/>
        <v>172</v>
      </c>
      <c r="Y15" s="255">
        <f t="shared" si="8"/>
        <v>230</v>
      </c>
      <c r="Z15" s="337">
        <f t="shared" si="9"/>
        <v>3.3217793183131138E-2</v>
      </c>
      <c r="AA15" s="255" t="s">
        <v>121</v>
      </c>
      <c r="AB15" s="255">
        <v>69</v>
      </c>
      <c r="AC15" s="255">
        <f t="shared" si="11"/>
        <v>69</v>
      </c>
      <c r="AD15" s="255">
        <v>69</v>
      </c>
      <c r="AE15" s="255">
        <v>3</v>
      </c>
      <c r="AF15" s="255">
        <v>8</v>
      </c>
      <c r="AG15" s="255">
        <f t="shared" si="12"/>
        <v>11</v>
      </c>
      <c r="AH15" s="255">
        <v>0</v>
      </c>
      <c r="AI15" s="255">
        <v>0</v>
      </c>
      <c r="AJ15" s="255">
        <v>0</v>
      </c>
      <c r="AK15" s="255">
        <f t="shared" si="13"/>
        <v>0</v>
      </c>
      <c r="AL15" s="255">
        <v>2</v>
      </c>
      <c r="AM15" s="277">
        <f t="shared" si="14"/>
        <v>3</v>
      </c>
      <c r="AN15" s="277">
        <f t="shared" si="15"/>
        <v>77</v>
      </c>
      <c r="AO15" s="255">
        <f t="shared" si="16"/>
        <v>80</v>
      </c>
      <c r="AP15" s="443">
        <f t="shared" si="17"/>
        <v>71</v>
      </c>
      <c r="AR15" s="343"/>
    </row>
    <row r="16" spans="1:44" ht="15.4">
      <c r="A16" s="54" t="s">
        <v>3</v>
      </c>
      <c r="B16" s="301">
        <v>11</v>
      </c>
      <c r="C16" s="277">
        <v>1817</v>
      </c>
      <c r="D16" s="255">
        <f t="shared" si="0"/>
        <v>1828</v>
      </c>
      <c r="E16" s="277">
        <v>3035</v>
      </c>
      <c r="F16" s="301">
        <v>550</v>
      </c>
      <c r="G16" s="277">
        <v>1870</v>
      </c>
      <c r="H16" s="255">
        <f t="shared" si="1"/>
        <v>2420</v>
      </c>
      <c r="I16" s="319">
        <v>2016</v>
      </c>
      <c r="J16" s="255">
        <v>131</v>
      </c>
      <c r="K16" s="255">
        <v>3</v>
      </c>
      <c r="L16" s="255">
        <f t="shared" si="2"/>
        <v>134</v>
      </c>
      <c r="M16" s="255">
        <v>80</v>
      </c>
      <c r="N16" s="255">
        <v>132</v>
      </c>
      <c r="O16" s="255">
        <v>6</v>
      </c>
      <c r="P16" s="255">
        <f t="shared" si="3"/>
        <v>138</v>
      </c>
      <c r="Q16" s="255">
        <v>250</v>
      </c>
      <c r="R16" s="255">
        <v>384</v>
      </c>
      <c r="S16" s="255">
        <v>7</v>
      </c>
      <c r="T16" s="255">
        <f t="shared" si="4"/>
        <v>391</v>
      </c>
      <c r="U16" s="255">
        <v>405</v>
      </c>
      <c r="V16" s="255">
        <f t="shared" si="5"/>
        <v>647</v>
      </c>
      <c r="W16" s="255">
        <f t="shared" si="6"/>
        <v>16</v>
      </c>
      <c r="X16" s="255">
        <f t="shared" si="7"/>
        <v>663</v>
      </c>
      <c r="Y16" s="255">
        <f t="shared" si="8"/>
        <v>735</v>
      </c>
      <c r="Z16" s="339">
        <f t="shared" si="9"/>
        <v>0.1061525129982669</v>
      </c>
      <c r="AA16" s="255" t="s">
        <v>121</v>
      </c>
      <c r="AB16" s="255">
        <v>199</v>
      </c>
      <c r="AC16" s="255">
        <f t="shared" si="11"/>
        <v>199</v>
      </c>
      <c r="AD16" s="255">
        <v>199</v>
      </c>
      <c r="AE16" s="255">
        <v>0</v>
      </c>
      <c r="AF16" s="255">
        <v>310</v>
      </c>
      <c r="AG16" s="255">
        <f t="shared" si="12"/>
        <v>310</v>
      </c>
      <c r="AH16" s="255">
        <v>7</v>
      </c>
      <c r="AI16" s="255">
        <v>917</v>
      </c>
      <c r="AJ16" s="255">
        <v>917</v>
      </c>
      <c r="AK16" s="255">
        <f t="shared" si="13"/>
        <v>1834</v>
      </c>
      <c r="AL16" s="255">
        <v>7</v>
      </c>
      <c r="AM16" s="277">
        <f t="shared" si="14"/>
        <v>917</v>
      </c>
      <c r="AN16" s="277">
        <f t="shared" si="15"/>
        <v>1426</v>
      </c>
      <c r="AO16" s="255">
        <f t="shared" si="16"/>
        <v>2343</v>
      </c>
      <c r="AP16" s="443">
        <f t="shared" si="17"/>
        <v>213</v>
      </c>
      <c r="AQ16" s="340" t="s">
        <v>149</v>
      </c>
      <c r="AR16" s="341">
        <f>+M25+Q25+U25</f>
        <v>6924</v>
      </c>
    </row>
    <row r="17" spans="1:46" ht="15.4">
      <c r="A17" s="54" t="s">
        <v>17</v>
      </c>
      <c r="B17" s="301">
        <v>0</v>
      </c>
      <c r="C17" s="277">
        <v>3</v>
      </c>
      <c r="D17" s="255">
        <f t="shared" si="0"/>
        <v>3</v>
      </c>
      <c r="E17" s="277">
        <v>394</v>
      </c>
      <c r="F17" s="301">
        <v>0</v>
      </c>
      <c r="G17" s="277">
        <v>1310</v>
      </c>
      <c r="H17" s="255">
        <f t="shared" si="1"/>
        <v>1310</v>
      </c>
      <c r="I17" s="277">
        <v>748</v>
      </c>
      <c r="J17" s="255"/>
      <c r="K17" s="255">
        <v>140</v>
      </c>
      <c r="L17" s="255">
        <f t="shared" si="2"/>
        <v>140</v>
      </c>
      <c r="M17" s="255">
        <v>62</v>
      </c>
      <c r="N17" s="255">
        <v>0</v>
      </c>
      <c r="O17" s="255">
        <v>154</v>
      </c>
      <c r="P17" s="255">
        <f t="shared" si="3"/>
        <v>154</v>
      </c>
      <c r="Q17" s="255">
        <v>244</v>
      </c>
      <c r="R17" s="255">
        <v>0</v>
      </c>
      <c r="S17" s="255">
        <v>174</v>
      </c>
      <c r="T17" s="255">
        <f t="shared" si="4"/>
        <v>174</v>
      </c>
      <c r="U17" s="255">
        <v>268</v>
      </c>
      <c r="V17" s="255">
        <f t="shared" si="5"/>
        <v>0</v>
      </c>
      <c r="W17" s="255">
        <f t="shared" si="6"/>
        <v>468</v>
      </c>
      <c r="X17" s="255">
        <f t="shared" si="7"/>
        <v>468</v>
      </c>
      <c r="Y17" s="255">
        <f t="shared" si="8"/>
        <v>574</v>
      </c>
      <c r="Z17" s="337">
        <f t="shared" si="9"/>
        <v>8.29000577700751E-2</v>
      </c>
      <c r="AA17" s="255" t="s">
        <v>121</v>
      </c>
      <c r="AB17" s="255">
        <v>61</v>
      </c>
      <c r="AC17" s="255">
        <f t="shared" si="11"/>
        <v>61</v>
      </c>
      <c r="AD17" s="255">
        <v>61</v>
      </c>
      <c r="AE17" s="255">
        <v>0</v>
      </c>
      <c r="AF17" s="255">
        <v>5</v>
      </c>
      <c r="AG17" s="255">
        <f t="shared" si="12"/>
        <v>5</v>
      </c>
      <c r="AH17" s="255">
        <v>0</v>
      </c>
      <c r="AI17" s="255">
        <v>0</v>
      </c>
      <c r="AJ17" s="255">
        <v>0</v>
      </c>
      <c r="AK17" s="255">
        <f t="shared" si="13"/>
        <v>0</v>
      </c>
      <c r="AL17" s="255">
        <v>0</v>
      </c>
      <c r="AM17" s="277">
        <f t="shared" si="14"/>
        <v>0</v>
      </c>
      <c r="AN17" s="277">
        <f t="shared" si="15"/>
        <v>66</v>
      </c>
      <c r="AO17" s="255">
        <f t="shared" si="16"/>
        <v>66</v>
      </c>
      <c r="AP17" s="443">
        <f t="shared" si="17"/>
        <v>61</v>
      </c>
      <c r="AQ17" s="340" t="s">
        <v>150</v>
      </c>
      <c r="AR17" s="341">
        <f>+AP25</f>
        <v>1124</v>
      </c>
    </row>
    <row r="18" spans="1:46" ht="15.4">
      <c r="A18" s="54" t="s">
        <v>18</v>
      </c>
      <c r="B18" s="301">
        <v>1</v>
      </c>
      <c r="C18" s="277">
        <v>2</v>
      </c>
      <c r="D18" s="255">
        <f t="shared" si="0"/>
        <v>3</v>
      </c>
      <c r="E18" s="277">
        <v>479</v>
      </c>
      <c r="F18" s="301">
        <v>0</v>
      </c>
      <c r="G18" s="277">
        <v>158</v>
      </c>
      <c r="H18" s="255">
        <f t="shared" si="1"/>
        <v>158</v>
      </c>
      <c r="I18" s="277">
        <v>716</v>
      </c>
      <c r="J18" s="255"/>
      <c r="K18" s="255">
        <v>36</v>
      </c>
      <c r="L18" s="255">
        <f t="shared" si="2"/>
        <v>36</v>
      </c>
      <c r="M18" s="255">
        <v>111</v>
      </c>
      <c r="N18" s="255">
        <v>0</v>
      </c>
      <c r="O18" s="255">
        <v>72</v>
      </c>
      <c r="P18" s="255">
        <f t="shared" si="3"/>
        <v>72</v>
      </c>
      <c r="Q18" s="255">
        <v>154</v>
      </c>
      <c r="R18" s="255">
        <v>0</v>
      </c>
      <c r="S18" s="255">
        <v>145</v>
      </c>
      <c r="T18" s="255">
        <f t="shared" si="4"/>
        <v>145</v>
      </c>
      <c r="U18" s="255">
        <v>327</v>
      </c>
      <c r="V18" s="255">
        <f t="shared" si="5"/>
        <v>0</v>
      </c>
      <c r="W18" s="255">
        <f t="shared" si="6"/>
        <v>253</v>
      </c>
      <c r="X18" s="255">
        <f t="shared" si="7"/>
        <v>253</v>
      </c>
      <c r="Y18" s="255">
        <f t="shared" si="8"/>
        <v>592</v>
      </c>
      <c r="Z18" s="337">
        <f t="shared" si="9"/>
        <v>8.5499711149624499E-2</v>
      </c>
      <c r="AA18" s="255" t="s">
        <v>121</v>
      </c>
      <c r="AB18" s="255" t="s">
        <v>121</v>
      </c>
      <c r="AC18" s="255">
        <f t="shared" si="11"/>
        <v>0</v>
      </c>
      <c r="AD18" s="255" t="s">
        <v>121</v>
      </c>
      <c r="AE18" s="255">
        <v>0</v>
      </c>
      <c r="AF18" s="255">
        <v>138</v>
      </c>
      <c r="AG18" s="255">
        <f t="shared" si="12"/>
        <v>138</v>
      </c>
      <c r="AH18" s="255">
        <v>0</v>
      </c>
      <c r="AI18" s="255">
        <v>109</v>
      </c>
      <c r="AJ18" s="255">
        <v>109</v>
      </c>
      <c r="AK18" s="255">
        <f t="shared" si="13"/>
        <v>218</v>
      </c>
      <c r="AL18" s="255">
        <v>0</v>
      </c>
      <c r="AM18" s="277">
        <f t="shared" si="14"/>
        <v>109</v>
      </c>
      <c r="AN18" s="277">
        <f t="shared" si="15"/>
        <v>247</v>
      </c>
      <c r="AO18" s="255">
        <f t="shared" si="16"/>
        <v>356</v>
      </c>
      <c r="AP18" s="443">
        <f t="shared" si="17"/>
        <v>0</v>
      </c>
      <c r="AQ18" s="340" t="s">
        <v>145</v>
      </c>
      <c r="AR18" s="342">
        <f>+(AR17-AR16)/AR16</f>
        <v>-0.83766608896591566</v>
      </c>
    </row>
    <row r="19" spans="1:46" ht="15.4">
      <c r="A19" s="54" t="s">
        <v>19</v>
      </c>
      <c r="B19" s="301">
        <v>0</v>
      </c>
      <c r="C19" s="277">
        <v>12</v>
      </c>
      <c r="D19" s="255">
        <f t="shared" si="0"/>
        <v>12</v>
      </c>
      <c r="E19" s="277">
        <v>903</v>
      </c>
      <c r="F19" s="301">
        <v>0</v>
      </c>
      <c r="G19" s="277">
        <v>711</v>
      </c>
      <c r="H19" s="255">
        <f t="shared" si="1"/>
        <v>711</v>
      </c>
      <c r="I19" s="277">
        <v>326</v>
      </c>
      <c r="J19" s="255"/>
      <c r="K19" s="255"/>
      <c r="L19" s="255">
        <f t="shared" si="2"/>
        <v>0</v>
      </c>
      <c r="M19" s="255">
        <v>9</v>
      </c>
      <c r="N19" s="255">
        <v>0</v>
      </c>
      <c r="O19" s="255">
        <v>11</v>
      </c>
      <c r="P19" s="255">
        <f t="shared" si="3"/>
        <v>11</v>
      </c>
      <c r="Q19" s="255">
        <v>319</v>
      </c>
      <c r="R19" s="255">
        <v>0</v>
      </c>
      <c r="S19" s="255">
        <v>11</v>
      </c>
      <c r="T19" s="255">
        <f t="shared" si="4"/>
        <v>11</v>
      </c>
      <c r="U19" s="255">
        <v>319</v>
      </c>
      <c r="V19" s="255">
        <f t="shared" si="5"/>
        <v>0</v>
      </c>
      <c r="W19" s="255">
        <f t="shared" si="6"/>
        <v>22</v>
      </c>
      <c r="X19" s="255">
        <f t="shared" si="7"/>
        <v>22</v>
      </c>
      <c r="Y19" s="255">
        <f t="shared" si="8"/>
        <v>647</v>
      </c>
      <c r="Z19" s="337">
        <f t="shared" si="9"/>
        <v>9.3443096476025417E-2</v>
      </c>
      <c r="AA19" s="255" t="s">
        <v>121</v>
      </c>
      <c r="AB19" s="255" t="s">
        <v>121</v>
      </c>
      <c r="AC19" s="255">
        <f t="shared" si="11"/>
        <v>0</v>
      </c>
      <c r="AD19" s="255" t="s">
        <v>121</v>
      </c>
      <c r="AE19" s="255">
        <v>0</v>
      </c>
      <c r="AF19" s="255">
        <v>198</v>
      </c>
      <c r="AG19" s="255">
        <f t="shared" si="12"/>
        <v>198</v>
      </c>
      <c r="AH19" s="255">
        <v>0</v>
      </c>
      <c r="AI19" s="255">
        <v>0</v>
      </c>
      <c r="AJ19" s="255" t="s">
        <v>121</v>
      </c>
      <c r="AK19" s="255">
        <f t="shared" si="13"/>
        <v>0</v>
      </c>
      <c r="AL19" s="255" t="s">
        <v>121</v>
      </c>
      <c r="AM19" s="277">
        <f t="shared" si="14"/>
        <v>0</v>
      </c>
      <c r="AN19" s="277">
        <f t="shared" si="15"/>
        <v>198</v>
      </c>
      <c r="AO19" s="255">
        <f t="shared" si="16"/>
        <v>198</v>
      </c>
      <c r="AP19" s="443">
        <f t="shared" si="17"/>
        <v>0</v>
      </c>
      <c r="AQ19" s="340" t="s">
        <v>146</v>
      </c>
      <c r="AR19" s="341">
        <f>+AR16-AR17</f>
        <v>5800</v>
      </c>
    </row>
    <row r="20" spans="1:46" ht="15.4">
      <c r="A20" s="54" t="s">
        <v>20</v>
      </c>
      <c r="B20" s="301">
        <v>0</v>
      </c>
      <c r="C20" s="277">
        <v>17</v>
      </c>
      <c r="D20" s="255">
        <f t="shared" si="0"/>
        <v>17</v>
      </c>
      <c r="E20" s="277">
        <v>203</v>
      </c>
      <c r="F20" s="301">
        <v>0</v>
      </c>
      <c r="G20" s="277">
        <v>77</v>
      </c>
      <c r="H20" s="255">
        <f t="shared" si="1"/>
        <v>77</v>
      </c>
      <c r="I20" s="277">
        <v>69</v>
      </c>
      <c r="J20" s="255"/>
      <c r="K20" s="255"/>
      <c r="L20" s="255">
        <f t="shared" si="2"/>
        <v>0</v>
      </c>
      <c r="M20" s="255">
        <v>16</v>
      </c>
      <c r="N20" s="255">
        <v>0</v>
      </c>
      <c r="O20" s="255">
        <v>0</v>
      </c>
      <c r="P20" s="255">
        <f t="shared" si="3"/>
        <v>0</v>
      </c>
      <c r="Q20" s="255">
        <v>32</v>
      </c>
      <c r="R20" s="255">
        <v>0</v>
      </c>
      <c r="S20" s="255">
        <v>0</v>
      </c>
      <c r="T20" s="255">
        <f t="shared" si="4"/>
        <v>0</v>
      </c>
      <c r="U20" s="255">
        <v>32</v>
      </c>
      <c r="V20" s="255">
        <f t="shared" si="5"/>
        <v>0</v>
      </c>
      <c r="W20" s="255">
        <f t="shared" si="6"/>
        <v>0</v>
      </c>
      <c r="X20" s="255">
        <f t="shared" si="7"/>
        <v>0</v>
      </c>
      <c r="Y20" s="255">
        <f t="shared" si="8"/>
        <v>80</v>
      </c>
      <c r="Z20" s="337">
        <f t="shared" si="9"/>
        <v>1.1554015020219527E-2</v>
      </c>
      <c r="AA20" s="255" t="s">
        <v>121</v>
      </c>
      <c r="AB20" s="255" t="s">
        <v>121</v>
      </c>
      <c r="AC20" s="255">
        <f t="shared" si="11"/>
        <v>0</v>
      </c>
      <c r="AD20" s="255" t="s">
        <v>121</v>
      </c>
      <c r="AE20" s="255">
        <v>0</v>
      </c>
      <c r="AF20" s="255">
        <v>336</v>
      </c>
      <c r="AG20" s="255">
        <f t="shared" si="12"/>
        <v>336</v>
      </c>
      <c r="AH20" s="255">
        <v>6</v>
      </c>
      <c r="AI20" s="255">
        <v>0</v>
      </c>
      <c r="AJ20" s="255" t="s">
        <v>121</v>
      </c>
      <c r="AK20" s="255">
        <f t="shared" si="13"/>
        <v>0</v>
      </c>
      <c r="AL20" s="255" t="s">
        <v>121</v>
      </c>
      <c r="AM20" s="277">
        <f t="shared" si="14"/>
        <v>0</v>
      </c>
      <c r="AN20" s="277">
        <f t="shared" si="15"/>
        <v>336</v>
      </c>
      <c r="AO20" s="255">
        <f t="shared" si="16"/>
        <v>336</v>
      </c>
      <c r="AP20" s="443">
        <f t="shared" si="17"/>
        <v>6</v>
      </c>
    </row>
    <row r="21" spans="1:46" ht="15.4">
      <c r="A21" s="54" t="s">
        <v>21</v>
      </c>
      <c r="B21" s="301">
        <v>0</v>
      </c>
      <c r="C21" s="277">
        <v>84</v>
      </c>
      <c r="D21" s="255">
        <f t="shared" si="0"/>
        <v>84</v>
      </c>
      <c r="E21" s="277">
        <v>124</v>
      </c>
      <c r="F21" s="301">
        <v>0</v>
      </c>
      <c r="G21" s="277">
        <v>2544</v>
      </c>
      <c r="H21" s="255">
        <f t="shared" si="1"/>
        <v>2544</v>
      </c>
      <c r="I21" s="277">
        <v>746</v>
      </c>
      <c r="J21" s="255"/>
      <c r="K21" s="255">
        <v>3</v>
      </c>
      <c r="L21" s="255">
        <f t="shared" si="2"/>
        <v>3</v>
      </c>
      <c r="M21" s="255">
        <v>33</v>
      </c>
      <c r="N21" s="255">
        <v>0</v>
      </c>
      <c r="O21" s="255">
        <v>25</v>
      </c>
      <c r="P21" s="255">
        <f t="shared" si="3"/>
        <v>25</v>
      </c>
      <c r="Q21" s="255">
        <v>81</v>
      </c>
      <c r="R21" s="255">
        <v>0</v>
      </c>
      <c r="S21" s="255">
        <v>440</v>
      </c>
      <c r="T21" s="255">
        <f t="shared" si="4"/>
        <v>440</v>
      </c>
      <c r="U21" s="255">
        <v>81</v>
      </c>
      <c r="V21" s="255">
        <f t="shared" si="5"/>
        <v>0</v>
      </c>
      <c r="W21" s="255">
        <f t="shared" si="6"/>
        <v>468</v>
      </c>
      <c r="X21" s="255">
        <f t="shared" si="7"/>
        <v>468</v>
      </c>
      <c r="Y21" s="255">
        <f t="shared" si="8"/>
        <v>195</v>
      </c>
      <c r="Z21" s="337">
        <f t="shared" si="9"/>
        <v>2.8162911611785094E-2</v>
      </c>
      <c r="AA21" s="255" t="s">
        <v>121</v>
      </c>
      <c r="AB21" s="255" t="s">
        <v>121</v>
      </c>
      <c r="AC21" s="255">
        <f t="shared" si="11"/>
        <v>0</v>
      </c>
      <c r="AD21" s="255" t="s">
        <v>121</v>
      </c>
      <c r="AE21" s="255">
        <v>782</v>
      </c>
      <c r="AF21" s="255">
        <v>799</v>
      </c>
      <c r="AG21" s="255">
        <f t="shared" si="12"/>
        <v>1581</v>
      </c>
      <c r="AH21" s="255">
        <v>17</v>
      </c>
      <c r="AI21" s="255">
        <v>0</v>
      </c>
      <c r="AJ21" s="255">
        <v>0</v>
      </c>
      <c r="AK21" s="255">
        <f t="shared" si="13"/>
        <v>0</v>
      </c>
      <c r="AL21" s="255">
        <v>0</v>
      </c>
      <c r="AM21" s="277">
        <f t="shared" si="14"/>
        <v>782</v>
      </c>
      <c r="AN21" s="277">
        <f t="shared" si="15"/>
        <v>799</v>
      </c>
      <c r="AO21" s="255">
        <f t="shared" si="16"/>
        <v>1581</v>
      </c>
      <c r="AP21" s="443">
        <f t="shared" si="17"/>
        <v>17</v>
      </c>
    </row>
    <row r="22" spans="1:46" ht="15.4">
      <c r="A22" s="54" t="s">
        <v>22</v>
      </c>
      <c r="B22" s="301">
        <v>0</v>
      </c>
      <c r="C22" s="277">
        <v>0</v>
      </c>
      <c r="D22" s="255">
        <f t="shared" si="0"/>
        <v>0</v>
      </c>
      <c r="E22" s="277">
        <v>22</v>
      </c>
      <c r="F22" s="301">
        <v>0</v>
      </c>
      <c r="G22" s="277">
        <v>0</v>
      </c>
      <c r="H22" s="255">
        <f t="shared" si="1"/>
        <v>0</v>
      </c>
      <c r="I22" s="277">
        <v>0</v>
      </c>
      <c r="J22" s="255"/>
      <c r="K22" s="255"/>
      <c r="L22" s="255">
        <f t="shared" si="2"/>
        <v>0</v>
      </c>
      <c r="M22" s="255"/>
      <c r="N22" s="255">
        <v>0</v>
      </c>
      <c r="O22" s="255">
        <v>0</v>
      </c>
      <c r="P22" s="255">
        <f t="shared" si="3"/>
        <v>0</v>
      </c>
      <c r="Q22" s="255">
        <v>0</v>
      </c>
      <c r="R22" s="255">
        <v>0</v>
      </c>
      <c r="S22" s="255">
        <v>0</v>
      </c>
      <c r="T22" s="255">
        <f t="shared" si="4"/>
        <v>0</v>
      </c>
      <c r="U22" s="255">
        <v>0</v>
      </c>
      <c r="V22" s="255">
        <f t="shared" si="5"/>
        <v>0</v>
      </c>
      <c r="W22" s="255">
        <f t="shared" si="6"/>
        <v>0</v>
      </c>
      <c r="X22" s="255">
        <f t="shared" si="7"/>
        <v>0</v>
      </c>
      <c r="Y22" s="255">
        <f t="shared" si="8"/>
        <v>0</v>
      </c>
      <c r="Z22" s="337">
        <f t="shared" si="9"/>
        <v>0</v>
      </c>
      <c r="AA22" s="255" t="s">
        <v>121</v>
      </c>
      <c r="AB22" s="255">
        <v>0</v>
      </c>
      <c r="AC22" s="255">
        <f t="shared" si="11"/>
        <v>0</v>
      </c>
      <c r="AD22" s="255">
        <v>0</v>
      </c>
      <c r="AE22" s="255">
        <v>0</v>
      </c>
      <c r="AF22" s="255">
        <v>0</v>
      </c>
      <c r="AG22" s="255">
        <f t="shared" si="12"/>
        <v>0</v>
      </c>
      <c r="AH22" s="255">
        <v>0</v>
      </c>
      <c r="AI22" s="255">
        <v>0</v>
      </c>
      <c r="AJ22" s="255">
        <v>0</v>
      </c>
      <c r="AK22" s="255">
        <f t="shared" si="13"/>
        <v>0</v>
      </c>
      <c r="AL22" s="255">
        <v>0</v>
      </c>
      <c r="AM22" s="277">
        <f t="shared" si="14"/>
        <v>0</v>
      </c>
      <c r="AN22" s="277">
        <f t="shared" si="15"/>
        <v>0</v>
      </c>
      <c r="AO22" s="255">
        <f t="shared" si="16"/>
        <v>0</v>
      </c>
      <c r="AP22" s="443">
        <f t="shared" si="17"/>
        <v>0</v>
      </c>
    </row>
    <row r="23" spans="1:46" ht="15.4">
      <c r="A23" s="54" t="s">
        <v>23</v>
      </c>
      <c r="B23" s="301">
        <v>16</v>
      </c>
      <c r="C23" s="277">
        <v>442</v>
      </c>
      <c r="D23" s="255">
        <f t="shared" si="0"/>
        <v>458</v>
      </c>
      <c r="E23" s="277">
        <v>334</v>
      </c>
      <c r="F23" s="301">
        <v>202</v>
      </c>
      <c r="G23" s="277">
        <v>979</v>
      </c>
      <c r="H23" s="255">
        <f t="shared" si="1"/>
        <v>1181</v>
      </c>
      <c r="I23" s="277">
        <v>120</v>
      </c>
      <c r="J23" s="255"/>
      <c r="K23" s="255">
        <v>184</v>
      </c>
      <c r="L23" s="255">
        <f t="shared" si="2"/>
        <v>184</v>
      </c>
      <c r="M23" s="255">
        <v>14</v>
      </c>
      <c r="N23" s="255">
        <v>2</v>
      </c>
      <c r="O23" s="255">
        <v>188</v>
      </c>
      <c r="P23" s="255">
        <f t="shared" si="3"/>
        <v>190</v>
      </c>
      <c r="Q23" s="255">
        <v>26</v>
      </c>
      <c r="R23" s="255">
        <v>4</v>
      </c>
      <c r="S23" s="255">
        <v>313</v>
      </c>
      <c r="T23" s="255">
        <f t="shared" si="4"/>
        <v>317</v>
      </c>
      <c r="U23" s="255">
        <v>26</v>
      </c>
      <c r="V23" s="255">
        <f t="shared" si="5"/>
        <v>6</v>
      </c>
      <c r="W23" s="255">
        <f t="shared" si="6"/>
        <v>685</v>
      </c>
      <c r="X23" s="255">
        <f t="shared" si="7"/>
        <v>691</v>
      </c>
      <c r="Y23" s="255">
        <f t="shared" si="8"/>
        <v>66</v>
      </c>
      <c r="Z23" s="337">
        <f t="shared" si="9"/>
        <v>9.5320623916811086E-3</v>
      </c>
      <c r="AA23" s="255" t="s">
        <v>121</v>
      </c>
      <c r="AB23" s="255" t="s">
        <v>121</v>
      </c>
      <c r="AC23" s="255">
        <f t="shared" si="11"/>
        <v>0</v>
      </c>
      <c r="AD23" s="255" t="s">
        <v>121</v>
      </c>
      <c r="AE23" s="255">
        <v>0</v>
      </c>
      <c r="AF23" s="255">
        <v>12</v>
      </c>
      <c r="AG23" s="255">
        <f t="shared" si="12"/>
        <v>12</v>
      </c>
      <c r="AH23" s="255">
        <v>59</v>
      </c>
      <c r="AI23" s="255">
        <v>0</v>
      </c>
      <c r="AJ23" s="255">
        <v>0</v>
      </c>
      <c r="AK23" s="255">
        <f t="shared" si="13"/>
        <v>0</v>
      </c>
      <c r="AL23" s="255">
        <v>13</v>
      </c>
      <c r="AM23" s="277">
        <f t="shared" si="14"/>
        <v>0</v>
      </c>
      <c r="AN23" s="277">
        <f t="shared" si="15"/>
        <v>12</v>
      </c>
      <c r="AO23" s="255">
        <f t="shared" si="16"/>
        <v>12</v>
      </c>
      <c r="AP23" s="443">
        <f t="shared" si="17"/>
        <v>72</v>
      </c>
    </row>
    <row r="24" spans="1:46" ht="15.4">
      <c r="A24" s="54" t="s">
        <v>24</v>
      </c>
      <c r="B24" s="301">
        <v>59</v>
      </c>
      <c r="C24" s="277">
        <v>241</v>
      </c>
      <c r="D24" s="255">
        <f t="shared" si="0"/>
        <v>300</v>
      </c>
      <c r="E24" s="277">
        <v>12</v>
      </c>
      <c r="F24" s="301">
        <v>58</v>
      </c>
      <c r="G24" s="277">
        <v>1452</v>
      </c>
      <c r="H24" s="255">
        <f t="shared" si="1"/>
        <v>1510</v>
      </c>
      <c r="I24" s="277">
        <v>39</v>
      </c>
      <c r="J24" s="255">
        <v>2</v>
      </c>
      <c r="K24" s="255">
        <v>1</v>
      </c>
      <c r="L24" s="255">
        <f t="shared" si="2"/>
        <v>3</v>
      </c>
      <c r="M24" s="255"/>
      <c r="N24" s="255">
        <v>9</v>
      </c>
      <c r="O24" s="255">
        <v>499</v>
      </c>
      <c r="P24" s="255">
        <f t="shared" si="3"/>
        <v>508</v>
      </c>
      <c r="Q24" s="255">
        <v>11</v>
      </c>
      <c r="R24" s="255">
        <v>16</v>
      </c>
      <c r="S24" s="255">
        <v>501</v>
      </c>
      <c r="T24" s="255">
        <f t="shared" si="4"/>
        <v>517</v>
      </c>
      <c r="U24" s="255">
        <v>11</v>
      </c>
      <c r="V24" s="255">
        <f t="shared" si="5"/>
        <v>27</v>
      </c>
      <c r="W24" s="255">
        <f t="shared" si="6"/>
        <v>1001</v>
      </c>
      <c r="X24" s="255">
        <f t="shared" si="7"/>
        <v>1028</v>
      </c>
      <c r="Y24" s="255">
        <f t="shared" si="8"/>
        <v>22</v>
      </c>
      <c r="Z24" s="337">
        <f t="shared" si="9"/>
        <v>3.1773541305603697E-3</v>
      </c>
      <c r="AA24" s="255" t="s">
        <v>121</v>
      </c>
      <c r="AB24" s="255">
        <v>0</v>
      </c>
      <c r="AC24" s="255">
        <f t="shared" si="11"/>
        <v>0</v>
      </c>
      <c r="AD24" s="255">
        <v>0</v>
      </c>
      <c r="AE24" s="255">
        <v>634</v>
      </c>
      <c r="AF24" s="255">
        <v>0</v>
      </c>
      <c r="AG24" s="255">
        <f t="shared" si="12"/>
        <v>634</v>
      </c>
      <c r="AH24" s="255">
        <v>0</v>
      </c>
      <c r="AI24" s="255">
        <v>0</v>
      </c>
      <c r="AJ24" s="255">
        <v>0</v>
      </c>
      <c r="AK24" s="255">
        <f t="shared" si="13"/>
        <v>0</v>
      </c>
      <c r="AL24" s="255">
        <v>0</v>
      </c>
      <c r="AM24" s="277">
        <f t="shared" si="14"/>
        <v>634</v>
      </c>
      <c r="AN24" s="277">
        <f t="shared" si="15"/>
        <v>0</v>
      </c>
      <c r="AO24" s="255">
        <f t="shared" si="16"/>
        <v>634</v>
      </c>
      <c r="AP24" s="443">
        <f t="shared" si="17"/>
        <v>0</v>
      </c>
    </row>
    <row r="25" spans="1:46" ht="14.65">
      <c r="A25" s="61" t="s">
        <v>9</v>
      </c>
      <c r="B25" s="62">
        <f t="shared" ref="B25:AB25" si="18">SUM(B6:B24)</f>
        <v>651</v>
      </c>
      <c r="C25" s="62">
        <f t="shared" si="18"/>
        <v>8430</v>
      </c>
      <c r="D25" s="62">
        <f t="shared" si="18"/>
        <v>9081</v>
      </c>
      <c r="E25" s="63">
        <f t="shared" si="18"/>
        <v>13643</v>
      </c>
      <c r="F25" s="62">
        <f t="shared" si="18"/>
        <v>5629</v>
      </c>
      <c r="G25" s="62">
        <f t="shared" si="18"/>
        <v>24340</v>
      </c>
      <c r="H25" s="62">
        <f t="shared" si="18"/>
        <v>29969</v>
      </c>
      <c r="I25" s="62">
        <f t="shared" si="18"/>
        <v>15219</v>
      </c>
      <c r="J25" s="62">
        <f t="shared" si="18"/>
        <v>169</v>
      </c>
      <c r="K25" s="62">
        <f t="shared" si="18"/>
        <v>1891</v>
      </c>
      <c r="L25" s="62">
        <f t="shared" si="18"/>
        <v>2060</v>
      </c>
      <c r="M25" s="62">
        <f t="shared" si="18"/>
        <v>687</v>
      </c>
      <c r="N25" s="62">
        <f t="shared" si="18"/>
        <v>231</v>
      </c>
      <c r="O25" s="62">
        <f t="shared" si="18"/>
        <v>2912</v>
      </c>
      <c r="P25" s="62">
        <f t="shared" si="18"/>
        <v>3143</v>
      </c>
      <c r="Q25" s="62">
        <f t="shared" si="18"/>
        <v>2406</v>
      </c>
      <c r="R25" s="62">
        <f t="shared" si="18"/>
        <v>502</v>
      </c>
      <c r="S25" s="62">
        <f t="shared" si="18"/>
        <v>4802</v>
      </c>
      <c r="T25" s="62">
        <f t="shared" si="18"/>
        <v>5304</v>
      </c>
      <c r="U25" s="62">
        <f t="shared" si="18"/>
        <v>3831</v>
      </c>
      <c r="V25" s="62">
        <f t="shared" si="18"/>
        <v>902</v>
      </c>
      <c r="W25" s="62">
        <f t="shared" si="18"/>
        <v>9605</v>
      </c>
      <c r="X25" s="62">
        <f t="shared" si="18"/>
        <v>10507</v>
      </c>
      <c r="Y25" s="62">
        <f t="shared" si="18"/>
        <v>6924</v>
      </c>
      <c r="Z25" s="338">
        <f>+SUM(Z6:Z24)</f>
        <v>1</v>
      </c>
      <c r="AA25" s="62">
        <f t="shared" si="18"/>
        <v>1417</v>
      </c>
      <c r="AB25" s="62">
        <f t="shared" si="18"/>
        <v>573</v>
      </c>
      <c r="AC25" s="62">
        <f t="shared" ref="AC25" si="19">SUM(AC6:AC24)</f>
        <v>1990</v>
      </c>
      <c r="AD25" s="62">
        <f t="shared" ref="AD25" si="20">SUM(AD6:AD24)</f>
        <v>573</v>
      </c>
      <c r="AE25" s="62">
        <f t="shared" ref="AE25" si="21">SUM(AE6:AE24)</f>
        <v>2621</v>
      </c>
      <c r="AF25" s="62">
        <f t="shared" ref="AF25:AG25" si="22">SUM(AF6:AF24)</f>
        <v>3017</v>
      </c>
      <c r="AG25" s="62">
        <f t="shared" si="22"/>
        <v>5638</v>
      </c>
      <c r="AH25" s="62">
        <f t="shared" ref="AH25" si="23">SUM(AH6:AH24)</f>
        <v>491</v>
      </c>
      <c r="AI25" s="62">
        <f t="shared" ref="AI25" si="24">SUM(AI6:AI24)</f>
        <v>2368</v>
      </c>
      <c r="AJ25" s="62">
        <f t="shared" ref="AJ25:AK25" si="25">SUM(AJ6:AJ24)</f>
        <v>2418</v>
      </c>
      <c r="AK25" s="62">
        <f t="shared" si="25"/>
        <v>4786</v>
      </c>
      <c r="AL25" s="62">
        <f t="shared" ref="AL25" si="26">SUM(AL6:AL24)</f>
        <v>60</v>
      </c>
      <c r="AM25" s="62">
        <f>SUM(AM6:AM24)</f>
        <v>6406</v>
      </c>
      <c r="AN25" s="62">
        <f>SUM(AN6:AN24)</f>
        <v>6008</v>
      </c>
      <c r="AO25" s="62">
        <f>SUM(AO6:AO24)</f>
        <v>12414</v>
      </c>
      <c r="AP25" s="62">
        <f>SUM(AP6:AP24)</f>
        <v>1124</v>
      </c>
      <c r="AR25" s="178"/>
      <c r="AT25" s="318"/>
    </row>
    <row r="26" spans="1:46">
      <c r="D26" s="178"/>
      <c r="AR26" s="178"/>
      <c r="AS26" s="8"/>
    </row>
    <row r="27" spans="1:46">
      <c r="D27" s="8"/>
      <c r="E27" s="178"/>
      <c r="F27" s="179"/>
    </row>
    <row r="28" spans="1:46" ht="14.45" customHeight="1">
      <c r="A28" s="186"/>
      <c r="B28" s="186"/>
      <c r="C28" s="186"/>
      <c r="D28" s="399"/>
      <c r="E28" s="400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O28" s="1"/>
      <c r="AR28"/>
    </row>
    <row r="29" spans="1:46" ht="38.1" customHeight="1">
      <c r="A29" s="186"/>
      <c r="B29" s="187" t="s">
        <v>95</v>
      </c>
      <c r="C29" s="187" t="s">
        <v>85</v>
      </c>
      <c r="D29" s="187" t="s">
        <v>96</v>
      </c>
      <c r="E29" s="187" t="s">
        <v>97</v>
      </c>
      <c r="F29" s="187" t="s">
        <v>136</v>
      </c>
      <c r="G29" s="187" t="s">
        <v>137</v>
      </c>
      <c r="H29" s="187" t="s">
        <v>127</v>
      </c>
      <c r="I29" s="187" t="s">
        <v>125</v>
      </c>
      <c r="J29"/>
      <c r="K29"/>
      <c r="L29"/>
      <c r="M29"/>
      <c r="N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O29" s="1"/>
      <c r="AR29"/>
    </row>
    <row r="30" spans="1:46" ht="23.25" customHeight="1">
      <c r="A30" s="54" t="s">
        <v>12</v>
      </c>
      <c r="B30" s="193">
        <v>85</v>
      </c>
      <c r="C30" s="194">
        <f t="shared" ref="C30:C48" si="27">+B30/$B$49</f>
        <v>2.5898842169408898E-2</v>
      </c>
      <c r="D30" s="214">
        <v>1259</v>
      </c>
      <c r="E30" s="296">
        <f t="shared" ref="E30:E48" si="28">+D30/$D$49</f>
        <v>8.9583036857834072E-2</v>
      </c>
      <c r="F30" s="214">
        <f>+L6+P6+T6</f>
        <v>1114</v>
      </c>
      <c r="G30" s="194">
        <f>+F30/$F$49</f>
        <v>0.10602455505853241</v>
      </c>
      <c r="H30" s="214">
        <f t="shared" ref="H30:H48" si="29">+AO6</f>
        <v>544</v>
      </c>
      <c r="I30" s="194">
        <f t="shared" ref="I30:I48" si="30">+H30/$H$49</f>
        <v>4.3821491864024488E-2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O30" s="1"/>
      <c r="AR30"/>
    </row>
    <row r="31" spans="1:46" ht="23.25" customHeight="1">
      <c r="A31" s="54" t="s">
        <v>13</v>
      </c>
      <c r="B31" s="193">
        <v>0</v>
      </c>
      <c r="C31" s="194">
        <f t="shared" si="27"/>
        <v>0</v>
      </c>
      <c r="D31" s="214">
        <v>469</v>
      </c>
      <c r="E31" s="194">
        <f t="shared" si="28"/>
        <v>3.337128219723922E-2</v>
      </c>
      <c r="F31" s="214">
        <f t="shared" ref="F31:F48" si="31">+L7+P7+T7</f>
        <v>807</v>
      </c>
      <c r="G31" s="194">
        <f t="shared" ref="G31:G48" si="32">+F31/$F$49</f>
        <v>7.680593889787761E-2</v>
      </c>
      <c r="H31" s="214">
        <f t="shared" si="29"/>
        <v>102</v>
      </c>
      <c r="I31" s="194">
        <f t="shared" si="30"/>
        <v>8.2165297245045919E-3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O31" s="1"/>
      <c r="AR31"/>
    </row>
    <row r="32" spans="1:46" ht="23.25" customHeight="1">
      <c r="A32" s="54" t="s">
        <v>14</v>
      </c>
      <c r="B32" s="193">
        <v>1</v>
      </c>
      <c r="C32" s="194">
        <f t="shared" si="27"/>
        <v>3.0469226081657528E-4</v>
      </c>
      <c r="D32" s="214">
        <v>1083</v>
      </c>
      <c r="E32" s="194">
        <f t="shared" si="28"/>
        <v>7.7059911768891418E-2</v>
      </c>
      <c r="F32" s="214">
        <f t="shared" si="31"/>
        <v>201</v>
      </c>
      <c r="G32" s="194">
        <f t="shared" si="32"/>
        <v>1.9130103740363568E-2</v>
      </c>
      <c r="H32" s="214">
        <f t="shared" si="29"/>
        <v>0</v>
      </c>
      <c r="I32" s="194">
        <f t="shared" si="30"/>
        <v>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O32" s="1"/>
      <c r="AR32"/>
    </row>
    <row r="33" spans="1:44" ht="23.25" customHeight="1">
      <c r="A33" s="54" t="s">
        <v>15</v>
      </c>
      <c r="B33" s="193">
        <v>312</v>
      </c>
      <c r="C33" s="194">
        <f t="shared" si="27"/>
        <v>9.5063985374771481E-2</v>
      </c>
      <c r="D33" s="214">
        <v>110</v>
      </c>
      <c r="E33" s="194">
        <f t="shared" si="28"/>
        <v>7.8269531805891558E-3</v>
      </c>
      <c r="F33" s="214">
        <f t="shared" si="31"/>
        <v>119</v>
      </c>
      <c r="G33" s="194">
        <f t="shared" si="32"/>
        <v>1.1325782811459028E-2</v>
      </c>
      <c r="H33" s="214">
        <f t="shared" si="29"/>
        <v>0</v>
      </c>
      <c r="I33" s="194">
        <f t="shared" si="30"/>
        <v>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O33" s="1"/>
      <c r="AR33"/>
    </row>
    <row r="34" spans="1:44" ht="23.25" customHeight="1">
      <c r="A34" s="54" t="s">
        <v>4</v>
      </c>
      <c r="B34" s="193">
        <v>678</v>
      </c>
      <c r="C34" s="296">
        <f t="shared" si="27"/>
        <v>0.20658135283363802</v>
      </c>
      <c r="D34" s="214">
        <v>1245</v>
      </c>
      <c r="E34" s="194">
        <f t="shared" si="28"/>
        <v>8.8586879180304542E-2</v>
      </c>
      <c r="F34" s="214">
        <f t="shared" si="31"/>
        <v>277</v>
      </c>
      <c r="G34" s="194">
        <f t="shared" si="32"/>
        <v>2.6363376796421433E-2</v>
      </c>
      <c r="H34" s="214">
        <f t="shared" si="29"/>
        <v>174</v>
      </c>
      <c r="I34" s="194">
        <f t="shared" si="30"/>
        <v>1.401643305944901E-2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O34" s="1"/>
      <c r="AR34"/>
    </row>
    <row r="35" spans="1:44" ht="23.25" customHeight="1">
      <c r="A35" s="54" t="s">
        <v>8</v>
      </c>
      <c r="B35" s="193">
        <v>1</v>
      </c>
      <c r="C35" s="194">
        <f t="shared" si="27"/>
        <v>3.0469226081657528E-4</v>
      </c>
      <c r="D35" s="214">
        <v>15</v>
      </c>
      <c r="E35" s="194">
        <f t="shared" si="28"/>
        <v>1.0673117973530666E-3</v>
      </c>
      <c r="F35" s="214">
        <f t="shared" si="31"/>
        <v>18</v>
      </c>
      <c r="G35" s="194">
        <f t="shared" si="32"/>
        <v>1.7131436185400209E-3</v>
      </c>
      <c r="H35" s="214">
        <f t="shared" si="29"/>
        <v>36</v>
      </c>
      <c r="I35" s="194">
        <f t="shared" si="30"/>
        <v>2.8999516674722086E-3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O35" s="1"/>
      <c r="AR35"/>
    </row>
    <row r="36" spans="1:44" ht="23.25" customHeight="1">
      <c r="A36" s="54" t="s">
        <v>1</v>
      </c>
      <c r="B36" s="193">
        <v>781</v>
      </c>
      <c r="C36" s="296">
        <f t="shared" si="27"/>
        <v>0.23796465569774528</v>
      </c>
      <c r="D36" s="214">
        <v>182</v>
      </c>
      <c r="E36" s="194">
        <f t="shared" si="28"/>
        <v>1.2950049807883876E-2</v>
      </c>
      <c r="F36" s="214">
        <f t="shared" si="31"/>
        <v>300</v>
      </c>
      <c r="G36" s="194">
        <f t="shared" si="32"/>
        <v>2.8552393642333682E-2</v>
      </c>
      <c r="H36" s="214">
        <f t="shared" si="29"/>
        <v>676</v>
      </c>
      <c r="I36" s="296">
        <f t="shared" si="30"/>
        <v>5.4454647978089257E-2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O36" s="1"/>
      <c r="AR36"/>
    </row>
    <row r="37" spans="1:44" ht="23.25" customHeight="1">
      <c r="A37" s="54" t="s">
        <v>2</v>
      </c>
      <c r="B37" s="193">
        <v>779</v>
      </c>
      <c r="C37" s="296">
        <f t="shared" si="27"/>
        <v>0.23735527117611213</v>
      </c>
      <c r="D37" s="214">
        <v>459</v>
      </c>
      <c r="E37" s="194">
        <f t="shared" si="28"/>
        <v>3.2659740999003845E-2</v>
      </c>
      <c r="F37" s="214">
        <f t="shared" si="31"/>
        <v>2</v>
      </c>
      <c r="G37" s="194">
        <f t="shared" si="32"/>
        <v>1.903492909488912E-4</v>
      </c>
      <c r="H37" s="214">
        <f t="shared" si="29"/>
        <v>22</v>
      </c>
      <c r="I37" s="194">
        <f t="shared" si="30"/>
        <v>1.7721926856774609E-3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O37" s="1"/>
      <c r="AR37"/>
    </row>
    <row r="38" spans="1:44" ht="23.25" customHeight="1">
      <c r="A38" s="54" t="s">
        <v>16</v>
      </c>
      <c r="B38" s="193">
        <v>20</v>
      </c>
      <c r="C38" s="194">
        <f t="shared" si="27"/>
        <v>6.0938452163315053E-3</v>
      </c>
      <c r="D38" s="214">
        <v>4007</v>
      </c>
      <c r="E38" s="296">
        <f t="shared" si="28"/>
        <v>0.28511455813291592</v>
      </c>
      <c r="F38" s="214">
        <f t="shared" si="31"/>
        <v>3904</v>
      </c>
      <c r="G38" s="296">
        <f t="shared" si="32"/>
        <v>0.37156181593223564</v>
      </c>
      <c r="H38" s="214">
        <f t="shared" si="29"/>
        <v>5254</v>
      </c>
      <c r="I38" s="296">
        <f t="shared" si="30"/>
        <v>0.4232318350249718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O38" s="1"/>
      <c r="AR38"/>
    </row>
    <row r="39" spans="1:44" ht="23.25" customHeight="1">
      <c r="A39" s="54" t="s">
        <v>7</v>
      </c>
      <c r="B39" s="193">
        <v>42</v>
      </c>
      <c r="C39" s="194">
        <f t="shared" si="27"/>
        <v>1.2797074954296161E-2</v>
      </c>
      <c r="D39" s="214">
        <v>243</v>
      </c>
      <c r="E39" s="194">
        <f t="shared" si="28"/>
        <v>1.729045111711968E-2</v>
      </c>
      <c r="F39" s="214">
        <f t="shared" si="31"/>
        <v>172</v>
      </c>
      <c r="G39" s="194">
        <f t="shared" si="32"/>
        <v>1.6370039021604645E-2</v>
      </c>
      <c r="H39" s="214">
        <f t="shared" si="29"/>
        <v>80</v>
      </c>
      <c r="I39" s="194">
        <f t="shared" si="30"/>
        <v>6.4443370388271304E-3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O39" s="1"/>
      <c r="AR39"/>
    </row>
    <row r="40" spans="1:44" ht="23.25" customHeight="1">
      <c r="A40" s="54" t="s">
        <v>3</v>
      </c>
      <c r="B40" s="193">
        <v>210</v>
      </c>
      <c r="C40" s="194">
        <f t="shared" si="27"/>
        <v>6.3985374771480807E-2</v>
      </c>
      <c r="D40" s="214">
        <v>1684</v>
      </c>
      <c r="E40" s="296">
        <f t="shared" si="28"/>
        <v>0.11982353778283762</v>
      </c>
      <c r="F40" s="214">
        <f t="shared" si="31"/>
        <v>663</v>
      </c>
      <c r="G40" s="296">
        <f t="shared" si="32"/>
        <v>6.3100789949557437E-2</v>
      </c>
      <c r="H40" s="214">
        <f t="shared" si="29"/>
        <v>2343</v>
      </c>
      <c r="I40" s="296">
        <f t="shared" si="30"/>
        <v>0.18873852102464958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O40" s="1"/>
      <c r="AR40"/>
    </row>
    <row r="41" spans="1:44" ht="23.25" customHeight="1">
      <c r="A41" s="54" t="s">
        <v>17</v>
      </c>
      <c r="B41" s="193">
        <v>3</v>
      </c>
      <c r="C41" s="194">
        <f t="shared" si="27"/>
        <v>9.1407678244972577E-4</v>
      </c>
      <c r="D41" s="214">
        <v>997</v>
      </c>
      <c r="E41" s="194">
        <f t="shared" si="28"/>
        <v>7.0940657464067164E-2</v>
      </c>
      <c r="F41" s="214">
        <f t="shared" si="31"/>
        <v>468</v>
      </c>
      <c r="G41" s="194">
        <f t="shared" si="32"/>
        <v>4.4541734082040547E-2</v>
      </c>
      <c r="H41" s="214">
        <f t="shared" si="29"/>
        <v>66</v>
      </c>
      <c r="I41" s="194">
        <f t="shared" si="30"/>
        <v>5.3165780570323829E-3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O41" s="1"/>
      <c r="AR41"/>
    </row>
    <row r="42" spans="1:44" ht="23.25" customHeight="1">
      <c r="A42" s="54" t="s">
        <v>18</v>
      </c>
      <c r="B42" s="193">
        <v>2</v>
      </c>
      <c r="C42" s="194">
        <f t="shared" si="27"/>
        <v>6.0938452163315055E-4</v>
      </c>
      <c r="D42" s="214">
        <v>145</v>
      </c>
      <c r="E42" s="194">
        <f t="shared" si="28"/>
        <v>1.0317347374412979E-2</v>
      </c>
      <c r="F42" s="214">
        <f t="shared" si="31"/>
        <v>253</v>
      </c>
      <c r="G42" s="194">
        <f t="shared" si="32"/>
        <v>2.407918530503474E-2</v>
      </c>
      <c r="H42" s="214">
        <f t="shared" si="29"/>
        <v>356</v>
      </c>
      <c r="I42" s="194">
        <f t="shared" si="30"/>
        <v>2.8677299822780732E-2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O42" s="1"/>
      <c r="AR42"/>
    </row>
    <row r="43" spans="1:44" ht="23.25" customHeight="1">
      <c r="A43" s="54" t="s">
        <v>19</v>
      </c>
      <c r="B43" s="193">
        <v>8</v>
      </c>
      <c r="C43" s="194">
        <f t="shared" si="27"/>
        <v>2.4375380865326022E-3</v>
      </c>
      <c r="D43" s="214">
        <v>281</v>
      </c>
      <c r="E43" s="194">
        <f t="shared" si="28"/>
        <v>1.9994307670414116E-2</v>
      </c>
      <c r="F43" s="214">
        <f t="shared" si="31"/>
        <v>22</v>
      </c>
      <c r="G43" s="194">
        <f t="shared" si="32"/>
        <v>2.0938422004378033E-3</v>
      </c>
      <c r="H43" s="214">
        <f t="shared" si="29"/>
        <v>198</v>
      </c>
      <c r="I43" s="194">
        <f t="shared" si="30"/>
        <v>1.5949734171097147E-2</v>
      </c>
    </row>
    <row r="44" spans="1:44" ht="23.25" customHeight="1">
      <c r="A44" s="54" t="s">
        <v>20</v>
      </c>
      <c r="B44" s="193">
        <v>3</v>
      </c>
      <c r="C44" s="194">
        <f t="shared" si="27"/>
        <v>9.1407678244972577E-4</v>
      </c>
      <c r="D44" s="214">
        <v>31</v>
      </c>
      <c r="E44" s="194">
        <f t="shared" si="28"/>
        <v>2.2057777145296715E-3</v>
      </c>
      <c r="F44" s="214">
        <f t="shared" si="31"/>
        <v>0</v>
      </c>
      <c r="G44" s="194">
        <f t="shared" si="32"/>
        <v>0</v>
      </c>
      <c r="H44" s="214">
        <f t="shared" si="29"/>
        <v>336</v>
      </c>
      <c r="I44" s="194">
        <f t="shared" si="30"/>
        <v>2.706621556307395E-2</v>
      </c>
    </row>
    <row r="45" spans="1:44" ht="23.25" customHeight="1">
      <c r="A45" s="54" t="s">
        <v>21</v>
      </c>
      <c r="B45" s="193">
        <v>70</v>
      </c>
      <c r="C45" s="194">
        <f t="shared" si="27"/>
        <v>2.1328458257160267E-2</v>
      </c>
      <c r="D45" s="214">
        <v>936</v>
      </c>
      <c r="E45" s="194">
        <f t="shared" si="28"/>
        <v>6.6600256154831367E-2</v>
      </c>
      <c r="F45" s="214">
        <f t="shared" si="31"/>
        <v>468</v>
      </c>
      <c r="G45" s="296">
        <f t="shared" si="32"/>
        <v>4.4541734082040547E-2</v>
      </c>
      <c r="H45" s="214">
        <f t="shared" si="29"/>
        <v>1581</v>
      </c>
      <c r="I45" s="296">
        <f t="shared" si="30"/>
        <v>0.12735621072982117</v>
      </c>
    </row>
    <row r="46" spans="1:44" ht="18.75" hidden="1" customHeight="1">
      <c r="A46" s="54" t="s">
        <v>22</v>
      </c>
      <c r="B46" s="193">
        <v>0</v>
      </c>
      <c r="C46" s="194">
        <f t="shared" si="27"/>
        <v>0</v>
      </c>
      <c r="D46" s="214">
        <v>0</v>
      </c>
      <c r="E46" s="194">
        <f t="shared" si="28"/>
        <v>0</v>
      </c>
      <c r="F46" s="214">
        <f t="shared" si="31"/>
        <v>0</v>
      </c>
      <c r="G46" s="194">
        <f t="shared" si="32"/>
        <v>0</v>
      </c>
      <c r="H46" s="214">
        <f t="shared" si="29"/>
        <v>0</v>
      </c>
      <c r="I46" s="194">
        <f t="shared" si="30"/>
        <v>0</v>
      </c>
    </row>
    <row r="47" spans="1:44" ht="23.25" customHeight="1">
      <c r="A47" s="54" t="s">
        <v>23</v>
      </c>
      <c r="B47" s="193">
        <v>248</v>
      </c>
      <c r="C47" s="194">
        <f t="shared" si="27"/>
        <v>7.5563680682510667E-2</v>
      </c>
      <c r="D47" s="214">
        <v>366</v>
      </c>
      <c r="E47" s="194">
        <f t="shared" si="28"/>
        <v>2.6042407855414829E-2</v>
      </c>
      <c r="F47" s="214">
        <f t="shared" si="31"/>
        <v>691</v>
      </c>
      <c r="G47" s="194">
        <f t="shared" si="32"/>
        <v>6.5765680022841916E-2</v>
      </c>
      <c r="H47" s="214">
        <f t="shared" si="29"/>
        <v>12</v>
      </c>
      <c r="I47" s="194">
        <f t="shared" si="30"/>
        <v>9.666505558240696E-4</v>
      </c>
    </row>
    <row r="48" spans="1:44" ht="23.25" customHeight="1">
      <c r="A48" s="54" t="s">
        <v>24</v>
      </c>
      <c r="B48" s="193">
        <v>39</v>
      </c>
      <c r="C48" s="194">
        <f t="shared" si="27"/>
        <v>1.1882998171846435E-2</v>
      </c>
      <c r="D48" s="214">
        <v>542</v>
      </c>
      <c r="E48" s="194">
        <f t="shared" si="28"/>
        <v>3.8565532944357481E-2</v>
      </c>
      <c r="F48" s="214">
        <f t="shared" si="31"/>
        <v>1028</v>
      </c>
      <c r="G48" s="194">
        <f t="shared" si="32"/>
        <v>9.7839535547730089E-2</v>
      </c>
      <c r="H48" s="214">
        <f t="shared" si="29"/>
        <v>634</v>
      </c>
      <c r="I48" s="194">
        <f t="shared" si="30"/>
        <v>5.107137103270501E-2</v>
      </c>
    </row>
    <row r="49" spans="1:44" ht="14.65">
      <c r="A49" s="61" t="s">
        <v>9</v>
      </c>
      <c r="B49" s="183">
        <f t="shared" ref="B49:E49" si="33">SUM(B30:B48)</f>
        <v>3282</v>
      </c>
      <c r="C49" s="184">
        <f t="shared" si="33"/>
        <v>0.99999999999999989</v>
      </c>
      <c r="D49" s="183">
        <f t="shared" si="33"/>
        <v>14054</v>
      </c>
      <c r="E49" s="184">
        <f t="shared" si="33"/>
        <v>1</v>
      </c>
      <c r="F49" s="183">
        <f>SUM(F30:F48)</f>
        <v>10507</v>
      </c>
      <c r="G49" s="184">
        <f>SUM(G30:G48)</f>
        <v>0.99999999999999989</v>
      </c>
      <c r="H49" s="183">
        <f>SUM(H30:H48)</f>
        <v>12414</v>
      </c>
      <c r="I49" s="184">
        <f>SUM(I30:I48)</f>
        <v>1.0000000000000002</v>
      </c>
    </row>
    <row r="50" spans="1:44">
      <c r="D50" s="8"/>
    </row>
    <row r="51" spans="1:44" ht="14.45" customHeight="1">
      <c r="A51" s="186"/>
      <c r="B51" s="186"/>
      <c r="C51" s="186"/>
      <c r="D51" s="399"/>
      <c r="E51" s="400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O51" s="1"/>
      <c r="AR51"/>
    </row>
    <row r="52" spans="1:44" ht="38.1" customHeight="1">
      <c r="A52" s="186"/>
      <c r="B52" s="187" t="s">
        <v>86</v>
      </c>
      <c r="C52" s="187" t="s">
        <v>87</v>
      </c>
      <c r="D52" s="187" t="s">
        <v>98</v>
      </c>
      <c r="E52" s="187" t="s">
        <v>99</v>
      </c>
      <c r="F52" s="187" t="s">
        <v>141</v>
      </c>
      <c r="G52" s="187" t="s">
        <v>142</v>
      </c>
      <c r="H52" s="187" t="s">
        <v>129</v>
      </c>
      <c r="I52" s="187" t="s">
        <v>128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O52" s="1"/>
      <c r="AR52"/>
    </row>
    <row r="53" spans="1:44" ht="42" customHeight="1">
      <c r="A53" s="213" t="s">
        <v>12</v>
      </c>
      <c r="B53" s="277">
        <v>1293</v>
      </c>
      <c r="C53" s="297">
        <f>+B53/$B$72</f>
        <v>0.14023861171366594</v>
      </c>
      <c r="D53" s="255">
        <v>1181</v>
      </c>
      <c r="E53" s="296">
        <f>+D53/$D$72</f>
        <v>0.20208761122518823</v>
      </c>
      <c r="F53" s="214">
        <f>+M6+Q6+U6</f>
        <v>762</v>
      </c>
      <c r="G53" s="194">
        <f>+F53/$F$49</f>
        <v>7.2523079851527547E-2</v>
      </c>
      <c r="H53" s="255">
        <f t="shared" ref="H53:H71" si="34">+AP6</f>
        <v>114</v>
      </c>
      <c r="I53" s="194">
        <f t="shared" ref="I53:I71" si="35">+H53/$H$72</f>
        <v>0.10142348754448399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O53" s="1"/>
      <c r="AR53"/>
    </row>
    <row r="54" spans="1:44" ht="15.4">
      <c r="A54" s="213" t="s">
        <v>13</v>
      </c>
      <c r="B54" s="277">
        <v>201</v>
      </c>
      <c r="C54" s="194">
        <f t="shared" ref="C54:C70" si="36">+B54/$B$72</f>
        <v>2.1800433839479393E-2</v>
      </c>
      <c r="D54" s="255">
        <v>556</v>
      </c>
      <c r="E54" s="194">
        <f t="shared" ref="E54:E71" si="37">+D54/$D$72</f>
        <v>9.5140314852840524E-2</v>
      </c>
      <c r="F54" s="214">
        <f t="shared" ref="F54:F71" si="38">+M7+Q7+U7</f>
        <v>493</v>
      </c>
      <c r="G54" s="194">
        <f t="shared" ref="G54:G71" si="39">+F54/$F$49</f>
        <v>4.6921100218901682E-2</v>
      </c>
      <c r="H54" s="255">
        <f t="shared" si="34"/>
        <v>24</v>
      </c>
      <c r="I54" s="194">
        <f t="shared" si="35"/>
        <v>2.1352313167259787E-2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O54" s="1"/>
      <c r="AR54"/>
    </row>
    <row r="55" spans="1:44" ht="15.4">
      <c r="A55" s="213" t="s">
        <v>14</v>
      </c>
      <c r="B55" s="277">
        <v>54</v>
      </c>
      <c r="C55" s="194">
        <f t="shared" si="36"/>
        <v>5.8568329718004337E-3</v>
      </c>
      <c r="D55" s="255">
        <v>3</v>
      </c>
      <c r="E55" s="194">
        <f t="shared" si="37"/>
        <v>5.1334702258726901E-4</v>
      </c>
      <c r="F55" s="214">
        <f t="shared" si="38"/>
        <v>3</v>
      </c>
      <c r="G55" s="194">
        <f t="shared" si="39"/>
        <v>2.8552393642333681E-4</v>
      </c>
      <c r="H55" s="255">
        <f t="shared" si="34"/>
        <v>0</v>
      </c>
      <c r="I55" s="194">
        <f t="shared" si="35"/>
        <v>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O55" s="1"/>
      <c r="AR55"/>
    </row>
    <row r="56" spans="1:44" ht="15.4">
      <c r="A56" s="213" t="s">
        <v>15</v>
      </c>
      <c r="B56" s="277">
        <v>13</v>
      </c>
      <c r="C56" s="194">
        <f t="shared" si="36"/>
        <v>1.4099783080260303E-3</v>
      </c>
      <c r="D56" s="255">
        <v>4</v>
      </c>
      <c r="E56" s="194">
        <f t="shared" si="37"/>
        <v>6.8446269678302531E-4</v>
      </c>
      <c r="F56" s="214">
        <f t="shared" si="38"/>
        <v>3</v>
      </c>
      <c r="G56" s="194">
        <f t="shared" si="39"/>
        <v>2.8552393642333681E-4</v>
      </c>
      <c r="H56" s="255">
        <f t="shared" si="34"/>
        <v>348</v>
      </c>
      <c r="I56" s="320">
        <f t="shared" si="35"/>
        <v>0.30960854092526691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O56" s="1"/>
      <c r="AR56"/>
    </row>
    <row r="57" spans="1:44" ht="15.4">
      <c r="A57" s="213" t="s">
        <v>4</v>
      </c>
      <c r="B57" s="277">
        <v>51</v>
      </c>
      <c r="C57" s="194">
        <f t="shared" si="36"/>
        <v>5.5314533622559652E-3</v>
      </c>
      <c r="D57" s="255">
        <v>0</v>
      </c>
      <c r="E57" s="194">
        <f t="shared" si="37"/>
        <v>0</v>
      </c>
      <c r="F57" s="214">
        <f t="shared" si="38"/>
        <v>0</v>
      </c>
      <c r="G57" s="194">
        <f t="shared" si="39"/>
        <v>0</v>
      </c>
      <c r="H57" s="255">
        <f t="shared" si="34"/>
        <v>0</v>
      </c>
      <c r="I57" s="194">
        <f t="shared" si="35"/>
        <v>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O57" s="1"/>
      <c r="AR57"/>
    </row>
    <row r="58" spans="1:44" ht="15.4">
      <c r="A58" s="213" t="s">
        <v>8</v>
      </c>
      <c r="B58" s="277">
        <v>37</v>
      </c>
      <c r="C58" s="194">
        <f t="shared" si="36"/>
        <v>4.0130151843817789E-3</v>
      </c>
      <c r="D58" s="255">
        <v>49</v>
      </c>
      <c r="E58" s="194">
        <f t="shared" si="37"/>
        <v>8.3846680355920602E-3</v>
      </c>
      <c r="F58" s="214">
        <f t="shared" si="38"/>
        <v>56</v>
      </c>
      <c r="G58" s="194">
        <f t="shared" si="39"/>
        <v>5.3297801465689541E-3</v>
      </c>
      <c r="H58" s="255">
        <f t="shared" si="34"/>
        <v>0</v>
      </c>
      <c r="I58" s="194">
        <f t="shared" si="35"/>
        <v>0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O58" s="1"/>
      <c r="AR58"/>
    </row>
    <row r="59" spans="1:44" ht="27" customHeight="1">
      <c r="A59" s="213" t="s">
        <v>1</v>
      </c>
      <c r="B59" s="277">
        <v>471</v>
      </c>
      <c r="C59" s="194">
        <f t="shared" si="36"/>
        <v>5.1084598698481559E-2</v>
      </c>
      <c r="D59" s="255">
        <v>27</v>
      </c>
      <c r="E59" s="194">
        <f t="shared" si="37"/>
        <v>4.6201232032854209E-3</v>
      </c>
      <c r="F59" s="214">
        <f t="shared" si="38"/>
        <v>17</v>
      </c>
      <c r="G59" s="194">
        <f t="shared" si="39"/>
        <v>1.6179689730655754E-3</v>
      </c>
      <c r="H59" s="255">
        <f t="shared" si="34"/>
        <v>0</v>
      </c>
      <c r="I59" s="194">
        <f t="shared" si="35"/>
        <v>0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O59" s="1"/>
      <c r="AR59"/>
    </row>
    <row r="60" spans="1:44" ht="15.4">
      <c r="A60" s="213" t="s">
        <v>2</v>
      </c>
      <c r="B60" s="277">
        <v>1860</v>
      </c>
      <c r="C60" s="297">
        <f t="shared" si="36"/>
        <v>0.2017353579175705</v>
      </c>
      <c r="D60" s="255">
        <v>333</v>
      </c>
      <c r="E60" s="194">
        <f t="shared" si="37"/>
        <v>5.6981519507186856E-2</v>
      </c>
      <c r="F60" s="214">
        <f t="shared" si="38"/>
        <v>277</v>
      </c>
      <c r="G60" s="194">
        <f t="shared" si="39"/>
        <v>2.6363376796421433E-2</v>
      </c>
      <c r="H60" s="255">
        <f t="shared" si="34"/>
        <v>0</v>
      </c>
      <c r="I60" s="194">
        <f t="shared" si="35"/>
        <v>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O60" s="1"/>
      <c r="AR60"/>
    </row>
    <row r="61" spans="1:44" ht="18.95" customHeight="1">
      <c r="A61" s="213" t="s">
        <v>16</v>
      </c>
      <c r="B61" s="277">
        <v>1060</v>
      </c>
      <c r="C61" s="297">
        <f t="shared" si="36"/>
        <v>0.11496746203904555</v>
      </c>
      <c r="D61" s="255">
        <v>1627</v>
      </c>
      <c r="E61" s="296">
        <f t="shared" si="37"/>
        <v>0.27840520191649554</v>
      </c>
      <c r="F61" s="214">
        <f t="shared" si="38"/>
        <v>2172</v>
      </c>
      <c r="G61" s="194">
        <f t="shared" si="39"/>
        <v>0.20671932997049586</v>
      </c>
      <c r="H61" s="255">
        <f t="shared" si="34"/>
        <v>198</v>
      </c>
      <c r="I61" s="320">
        <f t="shared" si="35"/>
        <v>0.17615658362989323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O61" s="1"/>
      <c r="AR61"/>
    </row>
    <row r="62" spans="1:44" ht="18.95" customHeight="1">
      <c r="A62" s="213" t="s">
        <v>7</v>
      </c>
      <c r="B62" s="277">
        <v>476</v>
      </c>
      <c r="C62" s="194">
        <f t="shared" si="36"/>
        <v>5.1626898047722344E-2</v>
      </c>
      <c r="D62" s="255">
        <v>276</v>
      </c>
      <c r="E62" s="194">
        <f t="shared" si="37"/>
        <v>4.7227926078028747E-2</v>
      </c>
      <c r="F62" s="214">
        <f t="shared" si="38"/>
        <v>230</v>
      </c>
      <c r="G62" s="194">
        <f t="shared" si="39"/>
        <v>2.1890168459122488E-2</v>
      </c>
      <c r="H62" s="255">
        <f t="shared" si="34"/>
        <v>71</v>
      </c>
      <c r="I62" s="194">
        <f t="shared" si="35"/>
        <v>6.3167259786476873E-2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O62" s="1"/>
      <c r="AR62"/>
    </row>
    <row r="63" spans="1:44" ht="18.95" customHeight="1">
      <c r="A63" s="213" t="s">
        <v>3</v>
      </c>
      <c r="B63" s="277">
        <v>1976</v>
      </c>
      <c r="C63" s="297">
        <f t="shared" si="36"/>
        <v>0.21431670281995663</v>
      </c>
      <c r="D63" s="255">
        <v>490</v>
      </c>
      <c r="E63" s="194">
        <f t="shared" si="37"/>
        <v>8.3846680355920605E-2</v>
      </c>
      <c r="F63" s="214">
        <f t="shared" si="38"/>
        <v>735</v>
      </c>
      <c r="G63" s="194">
        <f t="shared" si="39"/>
        <v>6.9953364423717523E-2</v>
      </c>
      <c r="H63" s="255">
        <f t="shared" si="34"/>
        <v>213</v>
      </c>
      <c r="I63" s="320">
        <f t="shared" si="35"/>
        <v>0.18950177935943061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O63" s="1"/>
      <c r="AR63"/>
    </row>
    <row r="64" spans="1:44" ht="18.95" customHeight="1">
      <c r="A64" s="213" t="s">
        <v>17</v>
      </c>
      <c r="B64" s="277">
        <v>265</v>
      </c>
      <c r="C64" s="194">
        <f t="shared" si="36"/>
        <v>2.8741865509761388E-2</v>
      </c>
      <c r="D64" s="255">
        <v>309</v>
      </c>
      <c r="E64" s="194">
        <f t="shared" si="37"/>
        <v>5.2874743326488706E-2</v>
      </c>
      <c r="F64" s="214">
        <f t="shared" si="38"/>
        <v>574</v>
      </c>
      <c r="G64" s="194">
        <f t="shared" si="39"/>
        <v>5.4630246502331781E-2</v>
      </c>
      <c r="H64" s="255">
        <f t="shared" si="34"/>
        <v>61</v>
      </c>
      <c r="I64" s="194">
        <f t="shared" si="35"/>
        <v>5.4270462633451956E-2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O64" s="1"/>
      <c r="AR64"/>
    </row>
    <row r="65" spans="1:44" ht="18.95" customHeight="1">
      <c r="A65" s="213" t="s">
        <v>18</v>
      </c>
      <c r="B65" s="277">
        <v>211</v>
      </c>
      <c r="C65" s="194">
        <f t="shared" si="36"/>
        <v>2.2885032537960953E-2</v>
      </c>
      <c r="D65" s="255">
        <v>467</v>
      </c>
      <c r="E65" s="194">
        <f t="shared" si="37"/>
        <v>7.9911019849418202E-2</v>
      </c>
      <c r="F65" s="214">
        <f t="shared" si="38"/>
        <v>592</v>
      </c>
      <c r="G65" s="194">
        <f t="shared" si="39"/>
        <v>5.6343390120871799E-2</v>
      </c>
      <c r="H65" s="255">
        <f t="shared" si="34"/>
        <v>0</v>
      </c>
      <c r="I65" s="194">
        <f t="shared" si="35"/>
        <v>0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O65" s="1"/>
      <c r="AR65"/>
    </row>
    <row r="66" spans="1:44" ht="18.95" customHeight="1">
      <c r="A66" s="213" t="s">
        <v>19</v>
      </c>
      <c r="B66" s="277">
        <v>830</v>
      </c>
      <c r="C66" s="194">
        <f t="shared" si="36"/>
        <v>9.0021691973969628E-2</v>
      </c>
      <c r="D66" s="255">
        <v>326</v>
      </c>
      <c r="E66" s="194">
        <f t="shared" si="37"/>
        <v>5.5783709787816563E-2</v>
      </c>
      <c r="F66" s="214">
        <f t="shared" si="38"/>
        <v>647</v>
      </c>
      <c r="G66" s="194">
        <f t="shared" si="39"/>
        <v>6.1577995621966308E-2</v>
      </c>
      <c r="H66" s="255">
        <f t="shared" si="34"/>
        <v>0</v>
      </c>
      <c r="I66" s="194">
        <f t="shared" si="35"/>
        <v>0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O66" s="1"/>
      <c r="AR66"/>
    </row>
    <row r="67" spans="1:44" ht="18.95" customHeight="1">
      <c r="A67" s="213" t="s">
        <v>20</v>
      </c>
      <c r="B67" s="277">
        <v>164</v>
      </c>
      <c r="C67" s="194">
        <f t="shared" si="36"/>
        <v>1.7787418655097614E-2</v>
      </c>
      <c r="D67" s="255">
        <v>33</v>
      </c>
      <c r="E67" s="194">
        <f t="shared" si="37"/>
        <v>5.6468172484599594E-3</v>
      </c>
      <c r="F67" s="214">
        <f t="shared" si="38"/>
        <v>80</v>
      </c>
      <c r="G67" s="194">
        <f t="shared" si="39"/>
        <v>7.613971637955649E-3</v>
      </c>
      <c r="H67" s="255">
        <f t="shared" si="34"/>
        <v>6</v>
      </c>
      <c r="I67" s="194">
        <f t="shared" si="35"/>
        <v>5.3380782918149468E-3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O67" s="1"/>
      <c r="AR67"/>
    </row>
    <row r="68" spans="1:44" ht="18.95" customHeight="1">
      <c r="A68" s="213" t="s">
        <v>21</v>
      </c>
      <c r="B68" s="277">
        <v>41</v>
      </c>
      <c r="C68" s="194">
        <f t="shared" si="36"/>
        <v>4.4468546637744036E-3</v>
      </c>
      <c r="D68" s="255">
        <v>100</v>
      </c>
      <c r="E68" s="194">
        <f t="shared" si="37"/>
        <v>1.7111567419575632E-2</v>
      </c>
      <c r="F68" s="214">
        <f t="shared" si="38"/>
        <v>195</v>
      </c>
      <c r="G68" s="194">
        <f t="shared" si="39"/>
        <v>1.8559055867516893E-2</v>
      </c>
      <c r="H68" s="255">
        <f t="shared" si="34"/>
        <v>17</v>
      </c>
      <c r="I68" s="194">
        <f t="shared" si="35"/>
        <v>1.5124555160142349E-2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O68" s="1"/>
      <c r="AR68"/>
    </row>
    <row r="69" spans="1:44" ht="18.95" hidden="1" customHeight="1">
      <c r="A69" s="213" t="s">
        <v>22</v>
      </c>
      <c r="B69" s="277">
        <v>0</v>
      </c>
      <c r="C69" s="194">
        <f t="shared" si="36"/>
        <v>0</v>
      </c>
      <c r="D69" s="255">
        <v>0</v>
      </c>
      <c r="E69" s="194">
        <f t="shared" si="37"/>
        <v>0</v>
      </c>
      <c r="F69" s="214">
        <f t="shared" si="38"/>
        <v>0</v>
      </c>
      <c r="G69" s="194">
        <f t="shared" si="39"/>
        <v>0</v>
      </c>
      <c r="H69" s="255">
        <f t="shared" si="34"/>
        <v>0</v>
      </c>
      <c r="I69" s="194">
        <f t="shared" si="35"/>
        <v>0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O69" s="1"/>
      <c r="AR69"/>
    </row>
    <row r="70" spans="1:44" ht="18.95" customHeight="1">
      <c r="A70" s="213" t="s">
        <v>23</v>
      </c>
      <c r="B70" s="277">
        <v>213</v>
      </c>
      <c r="C70" s="194">
        <f t="shared" si="36"/>
        <v>2.3101952277657267E-2</v>
      </c>
      <c r="D70" s="255">
        <v>52</v>
      </c>
      <c r="E70" s="194">
        <f t="shared" si="37"/>
        <v>8.8980150581793298E-3</v>
      </c>
      <c r="F70" s="214">
        <f t="shared" si="38"/>
        <v>66</v>
      </c>
      <c r="G70" s="194">
        <f t="shared" si="39"/>
        <v>6.2815266013134105E-3</v>
      </c>
      <c r="H70" s="255">
        <f t="shared" si="34"/>
        <v>72</v>
      </c>
      <c r="I70" s="194">
        <f t="shared" si="35"/>
        <v>6.4056939501779361E-2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O70" s="1"/>
      <c r="AR70"/>
    </row>
    <row r="71" spans="1:44" s="1" customFormat="1" ht="38.450000000000003" customHeight="1">
      <c r="A71" s="213" t="s">
        <v>24</v>
      </c>
      <c r="B71" s="277">
        <v>4</v>
      </c>
      <c r="C71" s="194">
        <f>+B71/$B$72</f>
        <v>4.3383947939262471E-4</v>
      </c>
      <c r="D71" s="255">
        <v>11</v>
      </c>
      <c r="E71" s="194">
        <f t="shared" si="37"/>
        <v>1.8822724161533196E-3</v>
      </c>
      <c r="F71" s="214">
        <f t="shared" si="38"/>
        <v>22</v>
      </c>
      <c r="G71" s="194">
        <f t="shared" si="39"/>
        <v>2.0938422004378033E-3</v>
      </c>
      <c r="H71" s="255">
        <f t="shared" si="34"/>
        <v>0</v>
      </c>
      <c r="I71" s="194">
        <f t="shared" si="35"/>
        <v>0</v>
      </c>
    </row>
    <row r="72" spans="1:44">
      <c r="A72" s="185"/>
      <c r="B72" s="217">
        <f t="shared" ref="B72:E72" si="40">SUM(B53:B71)</f>
        <v>9220</v>
      </c>
      <c r="C72" s="218">
        <f t="shared" si="40"/>
        <v>0.99999999999999978</v>
      </c>
      <c r="D72" s="217">
        <f t="shared" si="40"/>
        <v>5844</v>
      </c>
      <c r="E72" s="218">
        <f t="shared" si="40"/>
        <v>0.99999999999999989</v>
      </c>
      <c r="F72" s="183">
        <f>SUM(F53:F71)</f>
        <v>6924</v>
      </c>
      <c r="G72" s="184">
        <f>SUM(G53:G71)</f>
        <v>0.65898924526506142</v>
      </c>
      <c r="H72" s="217">
        <f>SUM(H53:H71)</f>
        <v>1124</v>
      </c>
      <c r="I72" s="218">
        <f>SUM(I53:I71)</f>
        <v>0.99999999999999989</v>
      </c>
    </row>
    <row r="74" spans="1:44">
      <c r="C74" s="1"/>
      <c r="D74" s="178"/>
    </row>
  </sheetData>
  <mergeCells count="15">
    <mergeCell ref="D51:E51"/>
    <mergeCell ref="D28:E28"/>
    <mergeCell ref="B4:E4"/>
    <mergeCell ref="F4:I4"/>
    <mergeCell ref="A2:AO2"/>
    <mergeCell ref="A3:I3"/>
    <mergeCell ref="A4:A5"/>
    <mergeCell ref="AM4:AP4"/>
    <mergeCell ref="J4:M4"/>
    <mergeCell ref="N4:Q4"/>
    <mergeCell ref="R4:U4"/>
    <mergeCell ref="V4:Y4"/>
    <mergeCell ref="AA4:AD4"/>
    <mergeCell ref="AE4:AH4"/>
    <mergeCell ref="AI4:AL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DQ81"/>
  <sheetViews>
    <sheetView showGridLines="0" tabSelected="1" topLeftCell="B1" zoomScaleNormal="100" zoomScaleSheetLayoutView="130" workbookViewId="0">
      <pane xSplit="1" topLeftCell="CR1" activePane="topRight" state="frozen"/>
      <selection activeCell="B1" sqref="B1"/>
      <selection pane="topRight" activeCell="CV3" sqref="CV3"/>
    </sheetView>
  </sheetViews>
  <sheetFormatPr baseColWidth="10" defaultColWidth="11.3984375" defaultRowHeight="14.25"/>
  <cols>
    <col min="1" max="1" width="4.1328125" style="66" customWidth="1"/>
    <col min="2" max="2" width="18.86328125" style="66" customWidth="1"/>
    <col min="3" max="3" width="10.1328125" style="66" hidden="1" customWidth="1"/>
    <col min="4" max="4" width="12" style="66" hidden="1" customWidth="1"/>
    <col min="5" max="13" width="9" style="66" hidden="1" customWidth="1"/>
    <col min="14" max="26" width="9" style="67" hidden="1" customWidth="1"/>
    <col min="27" max="27" width="9" style="80" hidden="1" customWidth="1"/>
    <col min="28" max="60" width="9" style="67" hidden="1" customWidth="1"/>
    <col min="61" max="65" width="9" style="67" customWidth="1"/>
    <col min="66" max="66" width="9.59765625" style="67" bestFit="1" customWidth="1"/>
    <col min="67" max="71" width="9" style="67" customWidth="1"/>
    <col min="72" max="72" width="16.3984375" style="66" customWidth="1"/>
    <col min="73" max="73" width="16.3984375" style="66" bestFit="1" customWidth="1"/>
    <col min="74" max="74" width="12.265625" style="66" bestFit="1" customWidth="1"/>
    <col min="75" max="80" width="9" style="67" customWidth="1"/>
    <col min="81" max="81" width="16.3984375" style="66" customWidth="1"/>
    <col min="82" max="82" width="13.1328125" style="66" customWidth="1"/>
    <col min="83" max="83" width="12.265625" style="66" bestFit="1" customWidth="1"/>
    <col min="84" max="87" width="13.3984375" style="66" customWidth="1"/>
    <col min="88" max="88" width="11.3984375" style="66" bestFit="1" customWidth="1"/>
    <col min="89" max="89" width="8.59765625" style="66" customWidth="1"/>
    <col min="90" max="90" width="10.1328125" style="66" customWidth="1"/>
    <col min="91" max="94" width="10.265625" style="66" customWidth="1"/>
    <col min="95" max="95" width="22.59765625" style="66" customWidth="1"/>
    <col min="96" max="98" width="11.3984375" style="66" customWidth="1"/>
    <col min="99" max="99" width="12" style="66" customWidth="1"/>
    <col min="100" max="101" width="11.265625" style="66" customWidth="1"/>
    <col min="102" max="105" width="11.3984375" style="66" customWidth="1"/>
    <col min="106" max="106" width="10.73046875" style="66" customWidth="1"/>
    <col min="107" max="107" width="11.3984375" style="66" customWidth="1"/>
    <col min="108" max="116" width="9.3984375" style="66" customWidth="1"/>
    <col min="117" max="117" width="10.73046875" style="66" customWidth="1"/>
    <col min="118" max="118" width="8.265625" style="66" customWidth="1"/>
    <col min="119" max="119" width="11.265625" style="66" customWidth="1"/>
    <col min="120" max="120" width="9.1328125" style="66" customWidth="1"/>
    <col min="121" max="16384" width="11.3984375" style="66"/>
  </cols>
  <sheetData>
    <row r="1" spans="1:121" ht="24.75" customHeight="1">
      <c r="A1" s="68"/>
      <c r="B1" s="421" t="s">
        <v>43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90"/>
      <c r="BU1" s="90"/>
      <c r="BV1" s="90"/>
      <c r="BW1" s="69"/>
      <c r="BX1" s="69"/>
      <c r="BY1" s="69"/>
      <c r="BZ1" s="69"/>
      <c r="CA1" s="69"/>
      <c r="CB1" s="69"/>
      <c r="CC1" s="90"/>
      <c r="CD1" s="90"/>
      <c r="CE1" s="90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426"/>
      <c r="DN1" s="426"/>
      <c r="DO1" s="426"/>
      <c r="DP1" s="426"/>
    </row>
    <row r="2" spans="1:121" ht="24.75" customHeight="1">
      <c r="B2" s="428" t="s">
        <v>0</v>
      </c>
      <c r="C2" s="419">
        <v>2008</v>
      </c>
      <c r="D2" s="419"/>
      <c r="E2" s="419">
        <v>2009</v>
      </c>
      <c r="F2" s="419"/>
      <c r="G2" s="419">
        <v>2010</v>
      </c>
      <c r="H2" s="419"/>
      <c r="I2" s="419">
        <v>2011</v>
      </c>
      <c r="J2" s="419"/>
      <c r="K2" s="419">
        <v>2012</v>
      </c>
      <c r="L2" s="419"/>
      <c r="M2" s="419">
        <v>2013</v>
      </c>
      <c r="N2" s="419"/>
      <c r="O2" s="419">
        <v>2014</v>
      </c>
      <c r="P2" s="419"/>
      <c r="Q2" s="419">
        <v>2015</v>
      </c>
      <c r="R2" s="419"/>
      <c r="S2" s="419">
        <v>2016</v>
      </c>
      <c r="T2" s="419"/>
      <c r="U2" s="419"/>
      <c r="V2" s="419"/>
      <c r="W2" s="419">
        <v>2017</v>
      </c>
      <c r="X2" s="419"/>
      <c r="Y2" s="419"/>
      <c r="Z2" s="419"/>
      <c r="AA2" s="419" t="s">
        <v>44</v>
      </c>
      <c r="AB2" s="419"/>
      <c r="AC2" s="419">
        <v>2018</v>
      </c>
      <c r="AD2" s="419"/>
      <c r="AE2" s="419"/>
      <c r="AF2" s="419"/>
      <c r="AG2" s="419" t="s">
        <v>47</v>
      </c>
      <c r="AH2" s="419" t="s">
        <v>48</v>
      </c>
      <c r="AI2" s="419">
        <v>2019</v>
      </c>
      <c r="AJ2" s="419"/>
      <c r="AK2" s="419"/>
      <c r="AL2" s="419"/>
      <c r="AM2" s="419" t="s">
        <v>57</v>
      </c>
      <c r="AN2" s="419" t="s">
        <v>58</v>
      </c>
      <c r="AO2" s="419">
        <v>2020</v>
      </c>
      <c r="AP2" s="419"/>
      <c r="AQ2" s="419"/>
      <c r="AR2" s="419"/>
      <c r="AS2" s="419">
        <v>2021</v>
      </c>
      <c r="AT2" s="419"/>
      <c r="AU2" s="419"/>
      <c r="AV2" s="424"/>
      <c r="AW2" s="419">
        <v>2022</v>
      </c>
      <c r="AX2" s="419"/>
      <c r="AY2" s="419"/>
      <c r="AZ2" s="424"/>
      <c r="BA2" s="419">
        <v>2023</v>
      </c>
      <c r="BB2" s="419"/>
      <c r="BC2" s="419"/>
      <c r="BD2" s="424"/>
      <c r="BE2" s="419">
        <v>2024</v>
      </c>
      <c r="BF2" s="419"/>
      <c r="BG2" s="419"/>
      <c r="BH2" s="424"/>
      <c r="BI2" s="419" t="s">
        <v>110</v>
      </c>
      <c r="BJ2" s="419"/>
      <c r="BK2" s="419"/>
      <c r="BL2" s="419"/>
      <c r="BM2" s="424"/>
      <c r="BN2" s="419" t="s">
        <v>118</v>
      </c>
      <c r="BO2" s="419"/>
      <c r="BP2" s="419"/>
      <c r="BQ2" s="419"/>
      <c r="BR2" s="424"/>
      <c r="BS2" s="245"/>
      <c r="BT2" s="248"/>
      <c r="BU2" s="422"/>
      <c r="BV2" s="423"/>
      <c r="BW2" s="419" t="s">
        <v>130</v>
      </c>
      <c r="BX2" s="419"/>
      <c r="BY2" s="419"/>
      <c r="BZ2" s="419"/>
      <c r="CA2" s="424"/>
      <c r="CB2" s="245"/>
      <c r="CC2" s="248"/>
      <c r="CD2" s="422"/>
      <c r="CE2" s="423"/>
      <c r="CF2" s="73" t="s">
        <v>134</v>
      </c>
      <c r="CG2" s="73"/>
      <c r="CH2" s="73"/>
      <c r="CI2" s="73"/>
      <c r="CJ2" s="73" t="s">
        <v>120</v>
      </c>
      <c r="CK2" s="73"/>
      <c r="CL2" s="73"/>
      <c r="CM2" s="306"/>
      <c r="CN2" s="307" t="s">
        <v>119</v>
      </c>
      <c r="CO2" s="307"/>
      <c r="CP2" s="308"/>
      <c r="CQ2" s="66" t="s">
        <v>151</v>
      </c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5"/>
      <c r="DC2" s="407"/>
      <c r="DD2" s="407"/>
      <c r="DE2" s="407"/>
      <c r="DF2" s="407"/>
      <c r="DG2" s="407"/>
      <c r="DH2" s="73"/>
      <c r="DI2" s="407"/>
      <c r="DJ2" s="407"/>
      <c r="DK2" s="407"/>
      <c r="DL2" s="407"/>
      <c r="DM2" s="73"/>
      <c r="DN2" s="73"/>
      <c r="DO2" s="407"/>
      <c r="DP2" s="407"/>
    </row>
    <row r="3" spans="1:121" ht="17.25" customHeight="1">
      <c r="B3" s="429"/>
      <c r="C3" s="160" t="s">
        <v>5</v>
      </c>
      <c r="D3" s="160" t="s">
        <v>6</v>
      </c>
      <c r="E3" s="160" t="s">
        <v>5</v>
      </c>
      <c r="F3" s="160" t="s">
        <v>6</v>
      </c>
      <c r="G3" s="160" t="s">
        <v>5</v>
      </c>
      <c r="H3" s="160" t="s">
        <v>6</v>
      </c>
      <c r="I3" s="160" t="s">
        <v>5</v>
      </c>
      <c r="J3" s="160" t="s">
        <v>6</v>
      </c>
      <c r="K3" s="160" t="s">
        <v>5</v>
      </c>
      <c r="L3" s="160" t="s">
        <v>6</v>
      </c>
      <c r="M3" s="160" t="s">
        <v>5</v>
      </c>
      <c r="N3" s="160" t="s">
        <v>6</v>
      </c>
      <c r="O3" s="160" t="s">
        <v>5</v>
      </c>
      <c r="P3" s="160" t="s">
        <v>6</v>
      </c>
      <c r="Q3" s="160" t="s">
        <v>5</v>
      </c>
      <c r="R3" s="160" t="s">
        <v>6</v>
      </c>
      <c r="S3" s="160" t="s">
        <v>5</v>
      </c>
      <c r="T3" s="160" t="s">
        <v>6</v>
      </c>
      <c r="U3" s="160" t="s">
        <v>26</v>
      </c>
      <c r="V3" s="160" t="s">
        <v>28</v>
      </c>
      <c r="W3" s="160" t="s">
        <v>5</v>
      </c>
      <c r="X3" s="160" t="s">
        <v>6</v>
      </c>
      <c r="Y3" s="160" t="s">
        <v>26</v>
      </c>
      <c r="Z3" s="160" t="s">
        <v>28</v>
      </c>
      <c r="AA3" s="420"/>
      <c r="AB3" s="420"/>
      <c r="AC3" s="160" t="s">
        <v>5</v>
      </c>
      <c r="AD3" s="160" t="s">
        <v>6</v>
      </c>
      <c r="AE3" s="160" t="s">
        <v>26</v>
      </c>
      <c r="AF3" s="160" t="s">
        <v>28</v>
      </c>
      <c r="AG3" s="420"/>
      <c r="AH3" s="420"/>
      <c r="AI3" s="160" t="s">
        <v>5</v>
      </c>
      <c r="AJ3" s="160" t="s">
        <v>6</v>
      </c>
      <c r="AK3" s="160" t="s">
        <v>26</v>
      </c>
      <c r="AL3" s="160" t="s">
        <v>28</v>
      </c>
      <c r="AM3" s="420"/>
      <c r="AN3" s="420"/>
      <c r="AO3" s="160" t="s">
        <v>5</v>
      </c>
      <c r="AP3" s="160" t="s">
        <v>6</v>
      </c>
      <c r="AQ3" s="160" t="s">
        <v>26</v>
      </c>
      <c r="AR3" s="160" t="s">
        <v>28</v>
      </c>
      <c r="AS3" s="160" t="s">
        <v>5</v>
      </c>
      <c r="AT3" s="160" t="s">
        <v>6</v>
      </c>
      <c r="AU3" s="160" t="s">
        <v>26</v>
      </c>
      <c r="AV3" s="161" t="s">
        <v>28</v>
      </c>
      <c r="AW3" s="160" t="s">
        <v>5</v>
      </c>
      <c r="AX3" s="160" t="s">
        <v>6</v>
      </c>
      <c r="AY3" s="160" t="s">
        <v>26</v>
      </c>
      <c r="AZ3" s="161" t="s">
        <v>28</v>
      </c>
      <c r="BA3" s="160" t="s">
        <v>5</v>
      </c>
      <c r="BB3" s="160" t="s">
        <v>6</v>
      </c>
      <c r="BC3" s="160" t="s">
        <v>26</v>
      </c>
      <c r="BD3" s="161" t="s">
        <v>28</v>
      </c>
      <c r="BE3" s="160" t="s">
        <v>5</v>
      </c>
      <c r="BF3" s="160" t="s">
        <v>6</v>
      </c>
      <c r="BG3" s="160" t="s">
        <v>26</v>
      </c>
      <c r="BH3" s="161" t="s">
        <v>28</v>
      </c>
      <c r="BI3" s="160" t="s">
        <v>5</v>
      </c>
      <c r="BJ3" s="160" t="s">
        <v>6</v>
      </c>
      <c r="BK3" s="299" t="s">
        <v>90</v>
      </c>
      <c r="BL3" s="160" t="s">
        <v>26</v>
      </c>
      <c r="BM3" s="161" t="s">
        <v>28</v>
      </c>
      <c r="BN3" s="160" t="s">
        <v>5</v>
      </c>
      <c r="BO3" s="160" t="s">
        <v>6</v>
      </c>
      <c r="BP3" s="299" t="s">
        <v>90</v>
      </c>
      <c r="BQ3" s="160" t="s">
        <v>26</v>
      </c>
      <c r="BR3" s="161" t="s">
        <v>28</v>
      </c>
      <c r="BS3" s="160"/>
      <c r="BT3" s="243" t="s">
        <v>0</v>
      </c>
      <c r="BU3" s="160" t="s">
        <v>40</v>
      </c>
      <c r="BV3" s="161" t="s">
        <v>41</v>
      </c>
      <c r="BW3" s="160" t="s">
        <v>5</v>
      </c>
      <c r="BX3" s="160" t="s">
        <v>6</v>
      </c>
      <c r="BY3" s="160" t="s">
        <v>90</v>
      </c>
      <c r="BZ3" s="160" t="s">
        <v>26</v>
      </c>
      <c r="CA3" s="161" t="s">
        <v>28</v>
      </c>
      <c r="CB3" s="160"/>
      <c r="CC3" s="243" t="s">
        <v>0</v>
      </c>
      <c r="CD3" s="160" t="s">
        <v>40</v>
      </c>
      <c r="CE3" s="161" t="s">
        <v>41</v>
      </c>
      <c r="CF3" s="67" t="s">
        <v>88</v>
      </c>
      <c r="CG3" s="67" t="s">
        <v>89</v>
      </c>
      <c r="CH3" s="67" t="s">
        <v>135</v>
      </c>
      <c r="CI3" s="67" t="s">
        <v>90</v>
      </c>
      <c r="CJ3" s="67" t="s">
        <v>63</v>
      </c>
      <c r="CK3" s="67" t="s">
        <v>109</v>
      </c>
      <c r="CL3" s="67" t="s">
        <v>53</v>
      </c>
      <c r="CM3" s="309" t="s">
        <v>54</v>
      </c>
      <c r="CN3" s="67" t="s">
        <v>88</v>
      </c>
      <c r="CO3" s="67" t="s">
        <v>89</v>
      </c>
      <c r="CP3" s="310" t="s">
        <v>90</v>
      </c>
      <c r="CQ3" s="67"/>
      <c r="CR3" s="67"/>
      <c r="CS3" s="75"/>
      <c r="CT3" s="67"/>
      <c r="CU3" s="67"/>
      <c r="CV3" s="67"/>
      <c r="CW3" s="75"/>
      <c r="CX3" s="75"/>
      <c r="CY3" s="75"/>
      <c r="CZ3" s="75"/>
      <c r="DA3" s="75"/>
      <c r="DB3" s="75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</row>
    <row r="4" spans="1:121" ht="14.65">
      <c r="B4" s="76" t="s">
        <v>12</v>
      </c>
      <c r="C4" s="77">
        <v>0</v>
      </c>
      <c r="D4" s="77">
        <v>524</v>
      </c>
      <c r="E4" s="77">
        <v>0</v>
      </c>
      <c r="F4" s="77">
        <v>435</v>
      </c>
      <c r="G4" s="77">
        <v>0</v>
      </c>
      <c r="H4" s="77">
        <v>802</v>
      </c>
      <c r="I4" s="77">
        <v>10</v>
      </c>
      <c r="J4" s="77">
        <v>761</v>
      </c>
      <c r="K4" s="77">
        <v>0</v>
      </c>
      <c r="L4" s="77">
        <v>571</v>
      </c>
      <c r="M4" s="77">
        <v>0</v>
      </c>
      <c r="N4" s="77">
        <v>138</v>
      </c>
      <c r="O4" s="77">
        <v>1</v>
      </c>
      <c r="P4" s="77">
        <v>7</v>
      </c>
      <c r="Q4" s="77">
        <v>1</v>
      </c>
      <c r="R4" s="77">
        <v>250</v>
      </c>
      <c r="S4" s="77">
        <v>0</v>
      </c>
      <c r="T4" s="77">
        <v>158</v>
      </c>
      <c r="U4" s="78">
        <v>0</v>
      </c>
      <c r="V4" s="78">
        <v>1.4780168381665109</v>
      </c>
      <c r="W4" s="77">
        <v>1</v>
      </c>
      <c r="X4" s="77">
        <f>2+1</f>
        <v>3</v>
      </c>
      <c r="Y4" s="79">
        <f>+W4/$W$23</f>
        <v>1.1890606420927466E-3</v>
      </c>
      <c r="Z4" s="79">
        <f>+X4/$X$23</f>
        <v>3.6701737215561538E-4</v>
      </c>
      <c r="AA4" s="238">
        <f>+W4+X4</f>
        <v>4</v>
      </c>
      <c r="AB4" s="58">
        <f>+AA4/$AA$23</f>
        <v>4.4370493621741539E-4</v>
      </c>
      <c r="AC4" s="60">
        <v>0</v>
      </c>
      <c r="AD4" s="60">
        <f>166+640</f>
        <v>806</v>
      </c>
      <c r="AE4" s="79">
        <f>+AC4/$AC$23</f>
        <v>0</v>
      </c>
      <c r="AF4" s="79">
        <f>+AD4/$AD$23</f>
        <v>9.3416782568382012E-2</v>
      </c>
      <c r="AG4" s="60">
        <f>+AC4+AD4</f>
        <v>806</v>
      </c>
      <c r="AH4" s="79">
        <f>+AG4/$AG$23</f>
        <v>5.386980350220559E-2</v>
      </c>
      <c r="AI4" s="57">
        <v>1</v>
      </c>
      <c r="AJ4" s="57">
        <v>90</v>
      </c>
      <c r="AK4" s="79">
        <f>+AI4/$AI$23</f>
        <v>3.5124692658939234E-4</v>
      </c>
      <c r="AL4" s="79">
        <f>+AJ4/$AJ$23</f>
        <v>1.2628034236003928E-2</v>
      </c>
      <c r="AM4" s="60">
        <f>+AI4+AJ4</f>
        <v>91</v>
      </c>
      <c r="AN4" s="79">
        <f>+AM4/$AM$23</f>
        <v>9.123721676358533E-3</v>
      </c>
      <c r="AO4" s="55">
        <v>0</v>
      </c>
      <c r="AP4" s="55">
        <v>18</v>
      </c>
      <c r="AQ4" s="162">
        <f>+AO4/$AO$23</f>
        <v>0</v>
      </c>
      <c r="AR4" s="162">
        <f>+AP4/$AP$23</f>
        <v>3.3345683586513525E-3</v>
      </c>
      <c r="AS4" s="55">
        <v>1</v>
      </c>
      <c r="AT4" s="55">
        <v>0</v>
      </c>
      <c r="AU4" s="162">
        <f>+AS4/$AS$23</f>
        <v>9.0579710144927537E-4</v>
      </c>
      <c r="AV4" s="162">
        <f>+AT4/$AT$23</f>
        <v>0</v>
      </c>
      <c r="AW4" s="210">
        <v>4</v>
      </c>
      <c r="AX4" s="210">
        <f>1263+1</f>
        <v>1264</v>
      </c>
      <c r="AY4" s="162">
        <f>+AW4/$AW$23</f>
        <v>6.1728395061728392E-3</v>
      </c>
      <c r="AZ4" s="162">
        <f>+AX4/$AX$23</f>
        <v>9.4033625948519564E-2</v>
      </c>
      <c r="BA4" s="210">
        <v>16</v>
      </c>
      <c r="BB4" s="210">
        <v>1421</v>
      </c>
      <c r="BC4" s="162">
        <f>+BA4/$BA$23</f>
        <v>1.9753086419753086E-2</v>
      </c>
      <c r="BD4" s="162">
        <f>+BB4/$BB$23</f>
        <v>0.13467917732916312</v>
      </c>
      <c r="BE4" s="60">
        <v>11</v>
      </c>
      <c r="BF4" s="60">
        <v>87</v>
      </c>
      <c r="BG4" s="162">
        <f t="shared" ref="BG4:BG22" si="0">+BE4/$BE$23</f>
        <v>1.6897081413210446E-2</v>
      </c>
      <c r="BH4" s="162">
        <f t="shared" ref="BH4:BH22" si="1">+BF4/$BF$23</f>
        <v>1.0320284697508897E-2</v>
      </c>
      <c r="BI4" s="60">
        <v>15</v>
      </c>
      <c r="BJ4" s="60">
        <v>1281</v>
      </c>
      <c r="BK4" s="60">
        <v>5254</v>
      </c>
      <c r="BL4" s="162">
        <f>+BI4/$BI$23</f>
        <v>2.6647717178895007E-3</v>
      </c>
      <c r="BM4" s="162">
        <f>+BJ4/$BJ$23</f>
        <v>5.2629416598192279E-2</v>
      </c>
      <c r="BN4" s="277">
        <v>0</v>
      </c>
      <c r="BO4" s="277">
        <v>544</v>
      </c>
      <c r="BP4" s="277">
        <v>544</v>
      </c>
      <c r="BQ4" s="162">
        <f>+BN4/$BN$23</f>
        <v>0</v>
      </c>
      <c r="BR4" s="162">
        <f>+BO4/$BO$23</f>
        <v>9.0545938748335553E-2</v>
      </c>
      <c r="BS4" s="246">
        <v>1</v>
      </c>
      <c r="BT4" s="81" t="s">
        <v>12</v>
      </c>
      <c r="BU4" s="60">
        <f>+BN4+BO4</f>
        <v>544</v>
      </c>
      <c r="BV4" s="58">
        <f>+BU4/$BU$23</f>
        <v>4.3821491864024488E-2</v>
      </c>
      <c r="BW4" s="60"/>
      <c r="BX4" s="60">
        <v>325</v>
      </c>
      <c r="BY4" s="60">
        <v>53</v>
      </c>
      <c r="BZ4" s="162"/>
      <c r="CA4" s="162"/>
      <c r="CB4" s="246">
        <v>1</v>
      </c>
      <c r="CC4" s="81" t="s">
        <v>12</v>
      </c>
      <c r="CD4" s="60">
        <f>+BW4+BX4</f>
        <v>325</v>
      </c>
      <c r="CE4" s="58">
        <f>+CD4/$BP$23</f>
        <v>2.6180119220235217E-2</v>
      </c>
      <c r="CF4" s="60"/>
      <c r="CG4" s="60">
        <v>325</v>
      </c>
      <c r="CH4" s="60">
        <f>+CF4+CG4</f>
        <v>325</v>
      </c>
      <c r="CI4" s="60">
        <v>53</v>
      </c>
      <c r="CJ4" s="60">
        <v>0</v>
      </c>
      <c r="CK4" s="60">
        <v>50</v>
      </c>
      <c r="CL4" s="60">
        <v>38</v>
      </c>
      <c r="CM4" s="311">
        <f>+CN4+CO4</f>
        <v>498</v>
      </c>
      <c r="CN4" s="60">
        <v>0</v>
      </c>
      <c r="CO4" s="60">
        <v>498</v>
      </c>
      <c r="CP4" s="312">
        <v>114</v>
      </c>
      <c r="CQ4" s="333">
        <f>+(CM4+CP4)/$CQ$23</f>
        <v>3.9258451472191931E-2</v>
      </c>
      <c r="CR4" s="82"/>
      <c r="CS4" s="83"/>
      <c r="CT4" s="83"/>
      <c r="CU4" s="83"/>
      <c r="CV4" s="83"/>
      <c r="CW4" s="83"/>
      <c r="CX4" s="83"/>
      <c r="CY4" s="83"/>
      <c r="CZ4" s="83"/>
      <c r="DA4" s="83"/>
      <c r="DB4" s="83"/>
      <c r="DD4" s="2"/>
      <c r="DE4" s="7"/>
      <c r="DF4" s="3"/>
      <c r="DG4" s="2"/>
      <c r="DH4" s="3"/>
      <c r="DI4" s="2"/>
      <c r="DJ4" s="84"/>
      <c r="DK4" s="2"/>
      <c r="DL4" s="84"/>
      <c r="DM4" s="85"/>
      <c r="DN4" s="86"/>
      <c r="DO4" s="85"/>
      <c r="DP4" s="87"/>
      <c r="DQ4" s="2"/>
    </row>
    <row r="5" spans="1:121" ht="14.65">
      <c r="B5" s="76" t="s">
        <v>13</v>
      </c>
      <c r="C5" s="77">
        <v>0</v>
      </c>
      <c r="D5" s="77">
        <v>0</v>
      </c>
      <c r="E5" s="77">
        <v>0</v>
      </c>
      <c r="F5" s="77">
        <v>0</v>
      </c>
      <c r="G5" s="77">
        <v>0</v>
      </c>
      <c r="H5" s="77">
        <v>0</v>
      </c>
      <c r="I5" s="77">
        <v>1</v>
      </c>
      <c r="J5" s="77">
        <v>6</v>
      </c>
      <c r="K5" s="77">
        <v>0</v>
      </c>
      <c r="L5" s="77">
        <v>23</v>
      </c>
      <c r="M5" s="77">
        <v>0</v>
      </c>
      <c r="N5" s="77">
        <v>0</v>
      </c>
      <c r="O5" s="77">
        <v>0</v>
      </c>
      <c r="P5" s="77">
        <v>0</v>
      </c>
      <c r="Q5" s="77">
        <v>1</v>
      </c>
      <c r="R5" s="77">
        <v>0</v>
      </c>
      <c r="S5" s="77">
        <v>0</v>
      </c>
      <c r="T5" s="77">
        <v>0</v>
      </c>
      <c r="U5" s="78">
        <v>0</v>
      </c>
      <c r="V5" s="78">
        <v>0</v>
      </c>
      <c r="W5" s="77">
        <v>4</v>
      </c>
      <c r="X5" s="77">
        <f>53+10</f>
        <v>63</v>
      </c>
      <c r="Y5" s="79">
        <f t="shared" ref="Y5:Y22" si="2">+W5/$W$23</f>
        <v>4.7562425683709865E-3</v>
      </c>
      <c r="Z5" s="79">
        <f t="shared" ref="Z5:Z22" si="3">+X5/$X$23</f>
        <v>7.707364815267923E-3</v>
      </c>
      <c r="AA5" s="238">
        <f t="shared" ref="AA5:AA22" si="4">+W5+X5</f>
        <v>67</v>
      </c>
      <c r="AB5" s="58">
        <f t="shared" ref="AB5:AB22" si="5">+AA5/$AA$23</f>
        <v>7.4320576816417081E-3</v>
      </c>
      <c r="AC5" s="60">
        <f>1+1+1</f>
        <v>3</v>
      </c>
      <c r="AD5" s="60">
        <v>4</v>
      </c>
      <c r="AE5" s="79">
        <f t="shared" ref="AE5:AE22" si="6">+AC5/$AC$23</f>
        <v>4.7363435427849701E-4</v>
      </c>
      <c r="AF5" s="79">
        <f t="shared" ref="AF5:AF22" si="7">+AD5/$AD$23</f>
        <v>4.6360686138154843E-4</v>
      </c>
      <c r="AG5" s="60">
        <f t="shared" ref="AG5:AG22" si="8">+AC5+AD5</f>
        <v>7</v>
      </c>
      <c r="AH5" s="79">
        <f t="shared" ref="AH5:AH22" si="9">+AG5/$AG$23</f>
        <v>4.6785189145836121E-4</v>
      </c>
      <c r="AI5" s="57">
        <v>8</v>
      </c>
      <c r="AJ5" s="57">
        <v>13</v>
      </c>
      <c r="AK5" s="79">
        <f t="shared" ref="AK5:AK22" si="10">+AI5/$AI$23</f>
        <v>2.8099754127151387E-3</v>
      </c>
      <c r="AL5" s="79">
        <f t="shared" ref="AL5:AL22" si="11">+AJ5/$AJ$23</f>
        <v>1.8240493896450119E-3</v>
      </c>
      <c r="AM5" s="60">
        <f t="shared" ref="AM5:AM22" si="12">+AI5+AJ5</f>
        <v>21</v>
      </c>
      <c r="AN5" s="79">
        <f t="shared" ref="AN5:AN22" si="13">+AM5/$AM$23</f>
        <v>2.1054742330058151E-3</v>
      </c>
      <c r="AO5" s="55">
        <v>0</v>
      </c>
      <c r="AP5" s="55">
        <v>0</v>
      </c>
      <c r="AQ5" s="162">
        <f t="shared" ref="AQ5:AQ22" si="14">+AO5/$AO$23</f>
        <v>0</v>
      </c>
      <c r="AR5" s="162">
        <f t="shared" ref="AR5:AR22" si="15">+AP5/$AP$23</f>
        <v>0</v>
      </c>
      <c r="AS5" s="55">
        <v>0</v>
      </c>
      <c r="AT5" s="55">
        <v>176</v>
      </c>
      <c r="AU5" s="162">
        <f t="shared" ref="AU5:AU22" si="16">+AS5/$AS$23</f>
        <v>0</v>
      </c>
      <c r="AV5" s="162">
        <f t="shared" ref="AV5:AV22" si="17">+AT5/$AT$23</f>
        <v>1.7688442211055276E-2</v>
      </c>
      <c r="AW5" s="210">
        <v>0</v>
      </c>
      <c r="AX5" s="210">
        <f>120+15</f>
        <v>135</v>
      </c>
      <c r="AY5" s="162">
        <f t="shared" ref="AY5:AY22" si="18">+AW5/$AW$23</f>
        <v>0</v>
      </c>
      <c r="AZ5" s="162">
        <f t="shared" ref="AZ5:AZ22" si="19">+AX5/$AX$23</f>
        <v>1.0043148341020682E-2</v>
      </c>
      <c r="BA5" s="210">
        <v>0</v>
      </c>
      <c r="BB5" s="210">
        <v>268</v>
      </c>
      <c r="BC5" s="162">
        <f t="shared" ref="BC5:BC22" si="20">+BA5/$BA$23</f>
        <v>0</v>
      </c>
      <c r="BD5" s="162">
        <f t="shared" ref="BD5:BD22" si="21">+BB5/$BB$23</f>
        <v>2.5400435977632453E-2</v>
      </c>
      <c r="BE5" s="60">
        <v>2</v>
      </c>
      <c r="BF5" s="60">
        <v>0</v>
      </c>
      <c r="BG5" s="162">
        <f t="shared" si="0"/>
        <v>3.0721966205837174E-3</v>
      </c>
      <c r="BH5" s="162">
        <f t="shared" si="1"/>
        <v>0</v>
      </c>
      <c r="BI5" s="60">
        <v>5</v>
      </c>
      <c r="BJ5" s="60">
        <v>580</v>
      </c>
      <c r="BK5" s="60">
        <v>932</v>
      </c>
      <c r="BL5" s="162">
        <f t="shared" ref="BL5:BL22" si="22">+BI5/$BI$23</f>
        <v>8.882572392965003E-4</v>
      </c>
      <c r="BM5" s="162">
        <f t="shared" ref="BM5:BM22" si="23">+BJ5/$BJ$23</f>
        <v>2.3829087921117501E-2</v>
      </c>
      <c r="BN5" s="277">
        <v>0</v>
      </c>
      <c r="BO5" s="277">
        <v>102</v>
      </c>
      <c r="BP5" s="255">
        <v>102</v>
      </c>
      <c r="BQ5" s="162">
        <f t="shared" ref="BQ5:BQ22" si="24">+BN5/$BN$23</f>
        <v>0</v>
      </c>
      <c r="BR5" s="162">
        <f t="shared" ref="BR5:BR22" si="25">+BO5/$BO$23</f>
        <v>1.6977363515312916E-2</v>
      </c>
      <c r="BS5" s="246">
        <v>2</v>
      </c>
      <c r="BT5" s="81" t="s">
        <v>13</v>
      </c>
      <c r="BU5" s="60">
        <f t="shared" ref="BU5:BU22" si="26">+BN5+BO5</f>
        <v>102</v>
      </c>
      <c r="BV5" s="58">
        <f t="shared" ref="BV5:BV22" si="27">+BU5/$BU$23</f>
        <v>8.2165297245045919E-3</v>
      </c>
      <c r="BW5" s="60">
        <v>3</v>
      </c>
      <c r="BX5" s="60">
        <v>266</v>
      </c>
      <c r="BY5" s="60">
        <v>98</v>
      </c>
      <c r="BZ5" s="162"/>
      <c r="CA5" s="162"/>
      <c r="CB5" s="246">
        <v>2</v>
      </c>
      <c r="CC5" s="81" t="s">
        <v>13</v>
      </c>
      <c r="CD5" s="60">
        <f t="shared" ref="CD5:CD22" si="28">+BW5+BX5</f>
        <v>269</v>
      </c>
      <c r="CE5" s="58">
        <f t="shared" ref="CE5:CE22" si="29">+CD5/$BP$23</f>
        <v>2.1669083293056227E-2</v>
      </c>
      <c r="CF5" s="60">
        <v>3</v>
      </c>
      <c r="CG5" s="60">
        <v>266</v>
      </c>
      <c r="CH5" s="60">
        <f>+CF5+CG5</f>
        <v>269</v>
      </c>
      <c r="CI5" s="60">
        <v>98</v>
      </c>
      <c r="CJ5" s="60">
        <v>0</v>
      </c>
      <c r="CK5" s="60" t="s">
        <v>121</v>
      </c>
      <c r="CL5" s="60" t="s">
        <v>121</v>
      </c>
      <c r="CM5" s="311">
        <f t="shared" ref="CM5:CM22" si="30">+CN5+CO5</f>
        <v>102</v>
      </c>
      <c r="CN5" s="60">
        <v>0</v>
      </c>
      <c r="CO5" s="60">
        <v>102</v>
      </c>
      <c r="CP5" s="312">
        <v>24</v>
      </c>
      <c r="CQ5" s="333">
        <f t="shared" ref="CQ5:CQ22" si="31">+(CM5+CP5)/$CQ$23</f>
        <v>8.0826223619218686E-3</v>
      </c>
      <c r="CR5" s="82"/>
      <c r="CS5" s="83"/>
      <c r="CT5" s="83"/>
      <c r="CU5" s="83"/>
      <c r="CV5" s="83"/>
      <c r="CW5" s="83"/>
      <c r="CX5" s="83"/>
      <c r="CY5" s="83"/>
      <c r="CZ5" s="83"/>
      <c r="DA5" s="83"/>
      <c r="DB5" s="83"/>
      <c r="DD5" s="2"/>
      <c r="DE5" s="7"/>
      <c r="DF5" s="3"/>
      <c r="DG5" s="2"/>
      <c r="DH5" s="3"/>
      <c r="DI5" s="2"/>
      <c r="DJ5" s="84"/>
      <c r="DK5" s="2"/>
      <c r="DL5" s="84"/>
      <c r="DM5" s="85"/>
      <c r="DN5" s="86"/>
      <c r="DO5" s="85"/>
      <c r="DP5" s="87"/>
      <c r="DQ5" s="2"/>
    </row>
    <row r="6" spans="1:121" ht="14.65">
      <c r="B6" s="76" t="s">
        <v>14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14</v>
      </c>
      <c r="I6" s="77">
        <v>6</v>
      </c>
      <c r="J6" s="77">
        <v>19</v>
      </c>
      <c r="K6" s="77">
        <v>0</v>
      </c>
      <c r="L6" s="77">
        <v>0</v>
      </c>
      <c r="M6" s="77">
        <v>0</v>
      </c>
      <c r="N6" s="77">
        <v>0</v>
      </c>
      <c r="O6" s="77">
        <v>3</v>
      </c>
      <c r="P6" s="77">
        <v>180</v>
      </c>
      <c r="Q6" s="77">
        <v>2</v>
      </c>
      <c r="R6" s="77">
        <v>0</v>
      </c>
      <c r="S6" s="77">
        <v>1</v>
      </c>
      <c r="T6" s="77">
        <v>0</v>
      </c>
      <c r="U6" s="78">
        <v>2.1003990758244065E-2</v>
      </c>
      <c r="V6" s="78">
        <v>0</v>
      </c>
      <c r="W6" s="77">
        <f>2+1</f>
        <v>3</v>
      </c>
      <c r="X6" s="77">
        <f>310+2</f>
        <v>312</v>
      </c>
      <c r="Y6" s="79">
        <f t="shared" si="2"/>
        <v>3.5671819262782403E-3</v>
      </c>
      <c r="Z6" s="79">
        <f t="shared" si="3"/>
        <v>3.8169806704183996E-2</v>
      </c>
      <c r="AA6" s="238">
        <f t="shared" si="4"/>
        <v>315</v>
      </c>
      <c r="AB6" s="58">
        <f t="shared" si="5"/>
        <v>3.4941763727121461E-2</v>
      </c>
      <c r="AC6" s="60">
        <v>0</v>
      </c>
      <c r="AD6" s="60">
        <f>30+86+73+25+1</f>
        <v>215</v>
      </c>
      <c r="AE6" s="79">
        <f t="shared" si="6"/>
        <v>0</v>
      </c>
      <c r="AF6" s="79">
        <f t="shared" si="7"/>
        <v>2.4918868799258229E-2</v>
      </c>
      <c r="AG6" s="60">
        <f t="shared" si="8"/>
        <v>215</v>
      </c>
      <c r="AH6" s="79">
        <f t="shared" si="9"/>
        <v>1.4369736666221093E-2</v>
      </c>
      <c r="AI6" s="57">
        <v>3</v>
      </c>
      <c r="AJ6" s="57">
        <v>1</v>
      </c>
      <c r="AK6" s="79">
        <f t="shared" si="10"/>
        <v>1.053740779768177E-3</v>
      </c>
      <c r="AL6" s="79">
        <f t="shared" si="11"/>
        <v>1.4031149151115475E-4</v>
      </c>
      <c r="AM6" s="60">
        <f t="shared" si="12"/>
        <v>4</v>
      </c>
      <c r="AN6" s="79">
        <f t="shared" si="13"/>
        <v>4.0104271104872668E-4</v>
      </c>
      <c r="AO6" s="55">
        <v>1</v>
      </c>
      <c r="AP6" s="55">
        <v>1</v>
      </c>
      <c r="AQ6" s="162">
        <f t="shared" si="14"/>
        <v>6.1462814996926854E-4</v>
      </c>
      <c r="AR6" s="162">
        <f t="shared" si="15"/>
        <v>1.8525379770285291E-4</v>
      </c>
      <c r="AS6" s="55">
        <v>2</v>
      </c>
      <c r="AT6" s="55">
        <v>309</v>
      </c>
      <c r="AU6" s="162">
        <f t="shared" si="16"/>
        <v>1.8115942028985507E-3</v>
      </c>
      <c r="AV6" s="162">
        <f t="shared" si="17"/>
        <v>3.1055276381909549E-2</v>
      </c>
      <c r="AW6" s="210">
        <v>0</v>
      </c>
      <c r="AX6" s="210">
        <v>8</v>
      </c>
      <c r="AY6" s="162">
        <f t="shared" si="18"/>
        <v>0</v>
      </c>
      <c r="AZ6" s="162">
        <f t="shared" si="19"/>
        <v>5.9514953131974406E-4</v>
      </c>
      <c r="BA6" s="210">
        <v>0</v>
      </c>
      <c r="BB6" s="210">
        <v>633</v>
      </c>
      <c r="BC6" s="162">
        <f t="shared" si="20"/>
        <v>0</v>
      </c>
      <c r="BD6" s="162">
        <f t="shared" si="21"/>
        <v>5.9994313335228887E-2</v>
      </c>
      <c r="BE6" s="60">
        <v>5</v>
      </c>
      <c r="BF6" s="60">
        <v>1</v>
      </c>
      <c r="BG6" s="162">
        <f t="shared" si="0"/>
        <v>7.6804915514592934E-3</v>
      </c>
      <c r="BH6" s="162">
        <f t="shared" si="1"/>
        <v>1.1862396204033214E-4</v>
      </c>
      <c r="BI6" s="60">
        <v>148</v>
      </c>
      <c r="BJ6" s="60">
        <v>1108</v>
      </c>
      <c r="BK6" s="60">
        <v>910</v>
      </c>
      <c r="BL6" s="162">
        <f t="shared" si="22"/>
        <v>2.6292414283176409E-2</v>
      </c>
      <c r="BM6" s="162">
        <f t="shared" si="23"/>
        <v>4.5521774856203782E-2</v>
      </c>
      <c r="BN6" s="277">
        <v>0</v>
      </c>
      <c r="BO6" s="277">
        <v>0</v>
      </c>
      <c r="BP6" s="255">
        <v>0</v>
      </c>
      <c r="BQ6" s="162">
        <f t="shared" si="24"/>
        <v>0</v>
      </c>
      <c r="BR6" s="162">
        <f t="shared" si="25"/>
        <v>0</v>
      </c>
      <c r="BS6" s="246">
        <v>3</v>
      </c>
      <c r="BT6" s="81" t="s">
        <v>14</v>
      </c>
      <c r="BU6" s="60">
        <f t="shared" si="26"/>
        <v>0</v>
      </c>
      <c r="BV6" s="58">
        <f t="shared" si="27"/>
        <v>0</v>
      </c>
      <c r="BW6" s="60"/>
      <c r="BX6" s="60"/>
      <c r="BY6" s="60"/>
      <c r="BZ6" s="162"/>
      <c r="CA6" s="162"/>
      <c r="CB6" s="246">
        <v>3</v>
      </c>
      <c r="CC6" s="81" t="s">
        <v>14</v>
      </c>
      <c r="CD6" s="60">
        <f t="shared" si="28"/>
        <v>0</v>
      </c>
      <c r="CE6" s="58">
        <f t="shared" si="29"/>
        <v>0</v>
      </c>
      <c r="CF6" s="60"/>
      <c r="CG6" s="60"/>
      <c r="CH6" s="60">
        <f>+CF6+CG6</f>
        <v>0</v>
      </c>
      <c r="CI6" s="60"/>
      <c r="CJ6" s="60">
        <v>0</v>
      </c>
      <c r="CK6" s="60" t="s">
        <v>121</v>
      </c>
      <c r="CL6" s="60" t="s">
        <v>121</v>
      </c>
      <c r="CM6" s="311">
        <f t="shared" si="30"/>
        <v>0</v>
      </c>
      <c r="CN6" s="60">
        <v>0</v>
      </c>
      <c r="CO6" s="60">
        <v>0</v>
      </c>
      <c r="CP6" s="312">
        <v>0</v>
      </c>
      <c r="CQ6" s="333">
        <f t="shared" si="31"/>
        <v>0</v>
      </c>
      <c r="CR6" s="82"/>
      <c r="CS6" s="83"/>
      <c r="CT6" s="83"/>
      <c r="CU6" s="83"/>
      <c r="CV6" s="83"/>
      <c r="CW6" s="83"/>
      <c r="CX6" s="83"/>
      <c r="CY6" s="83"/>
      <c r="CZ6" s="83"/>
      <c r="DA6" s="83"/>
      <c r="DB6" s="83"/>
      <c r="DD6" s="2"/>
      <c r="DE6" s="7"/>
      <c r="DF6" s="3"/>
      <c r="DG6" s="2"/>
      <c r="DH6" s="3"/>
      <c r="DI6" s="2"/>
      <c r="DJ6" s="84"/>
      <c r="DK6" s="2"/>
      <c r="DL6" s="84"/>
      <c r="DM6" s="85"/>
      <c r="DN6" s="86"/>
      <c r="DO6" s="85"/>
      <c r="DP6" s="87"/>
      <c r="DQ6" s="2"/>
    </row>
    <row r="7" spans="1:121" ht="15.4">
      <c r="B7" s="76" t="s">
        <v>15</v>
      </c>
      <c r="C7" s="77">
        <v>193</v>
      </c>
      <c r="D7" s="77">
        <v>93</v>
      </c>
      <c r="E7" s="77">
        <v>66</v>
      </c>
      <c r="F7" s="77">
        <v>121</v>
      </c>
      <c r="G7" s="77">
        <v>551</v>
      </c>
      <c r="H7" s="77">
        <v>374</v>
      </c>
      <c r="I7" s="77">
        <v>40</v>
      </c>
      <c r="J7" s="77">
        <v>385</v>
      </c>
      <c r="K7" s="77">
        <v>33</v>
      </c>
      <c r="L7" s="77">
        <v>356</v>
      </c>
      <c r="M7" s="77">
        <v>39</v>
      </c>
      <c r="N7" s="77">
        <v>350</v>
      </c>
      <c r="O7" s="88">
        <v>177</v>
      </c>
      <c r="P7" s="88">
        <v>486</v>
      </c>
      <c r="Q7" s="77">
        <v>164</v>
      </c>
      <c r="R7" s="77">
        <v>795</v>
      </c>
      <c r="S7" s="77">
        <v>43</v>
      </c>
      <c r="T7" s="77">
        <v>231</v>
      </c>
      <c r="U7" s="78">
        <v>0.90317160260449481</v>
      </c>
      <c r="V7" s="78">
        <v>2.1608980355472402</v>
      </c>
      <c r="W7" s="77">
        <f>35+5+2+2+4</f>
        <v>48</v>
      </c>
      <c r="X7" s="77">
        <f>231+1+3+405+121</f>
        <v>761</v>
      </c>
      <c r="Y7" s="79">
        <f t="shared" si="2"/>
        <v>5.7074910820451845E-2</v>
      </c>
      <c r="Z7" s="79">
        <f t="shared" si="3"/>
        <v>9.3100073403474426E-2</v>
      </c>
      <c r="AA7" s="238">
        <f t="shared" si="4"/>
        <v>809</v>
      </c>
      <c r="AB7" s="58">
        <f t="shared" si="5"/>
        <v>8.9739323349972269E-2</v>
      </c>
      <c r="AC7" s="60">
        <f>3+1+1+5+4+6+3+3+6</f>
        <v>32</v>
      </c>
      <c r="AD7" s="60">
        <f>193+120+409+100+56+222+216</f>
        <v>1316</v>
      </c>
      <c r="AE7" s="79">
        <f t="shared" si="6"/>
        <v>5.0520997789706345E-3</v>
      </c>
      <c r="AF7" s="79">
        <f t="shared" si="7"/>
        <v>0.15252665739452945</v>
      </c>
      <c r="AG7" s="60">
        <f t="shared" si="8"/>
        <v>1348</v>
      </c>
      <c r="AH7" s="79">
        <f t="shared" si="9"/>
        <v>9.0094907097981555E-2</v>
      </c>
      <c r="AI7" s="57">
        <v>112</v>
      </c>
      <c r="AJ7" s="57">
        <v>632</v>
      </c>
      <c r="AK7" s="79">
        <f t="shared" si="10"/>
        <v>3.9339655778011941E-2</v>
      </c>
      <c r="AL7" s="79">
        <f t="shared" si="11"/>
        <v>8.8676862635049813E-2</v>
      </c>
      <c r="AM7" s="60">
        <f t="shared" si="12"/>
        <v>744</v>
      </c>
      <c r="AN7" s="79">
        <f t="shared" si="13"/>
        <v>7.459394425506316E-2</v>
      </c>
      <c r="AO7" s="55">
        <v>12</v>
      </c>
      <c r="AP7" s="55">
        <v>271</v>
      </c>
      <c r="AQ7" s="162">
        <f t="shared" si="14"/>
        <v>7.3755377996312229E-3</v>
      </c>
      <c r="AR7" s="162">
        <f t="shared" si="15"/>
        <v>5.0203779177473137E-2</v>
      </c>
      <c r="AS7" s="55">
        <v>64</v>
      </c>
      <c r="AT7" s="55">
        <v>611</v>
      </c>
      <c r="AU7" s="162">
        <f t="shared" si="16"/>
        <v>5.7971014492753624E-2</v>
      </c>
      <c r="AV7" s="162">
        <f t="shared" si="17"/>
        <v>6.14070351758794E-2</v>
      </c>
      <c r="AW7" s="210">
        <v>32</v>
      </c>
      <c r="AX7" s="210">
        <v>432</v>
      </c>
      <c r="AY7" s="162">
        <f t="shared" si="18"/>
        <v>4.9382716049382713E-2</v>
      </c>
      <c r="AZ7" s="162">
        <f t="shared" si="19"/>
        <v>3.2138074691266179E-2</v>
      </c>
      <c r="BA7" s="210">
        <v>58</v>
      </c>
      <c r="BB7" s="210">
        <v>513</v>
      </c>
      <c r="BC7" s="162">
        <f t="shared" si="20"/>
        <v>7.160493827160494E-2</v>
      </c>
      <c r="BD7" s="162">
        <f t="shared" si="21"/>
        <v>4.8620983793005404E-2</v>
      </c>
      <c r="BE7" s="60">
        <v>82</v>
      </c>
      <c r="BF7" s="60">
        <v>456</v>
      </c>
      <c r="BG7" s="162">
        <f t="shared" si="0"/>
        <v>0.1259600614439324</v>
      </c>
      <c r="BH7" s="162">
        <f t="shared" si="1"/>
        <v>5.4092526690391461E-2</v>
      </c>
      <c r="BI7" s="60">
        <v>64</v>
      </c>
      <c r="BJ7" s="60">
        <v>333</v>
      </c>
      <c r="BK7" s="60">
        <v>8</v>
      </c>
      <c r="BL7" s="162">
        <f t="shared" si="22"/>
        <v>1.1369692662995203E-2</v>
      </c>
      <c r="BM7" s="162">
        <f t="shared" si="23"/>
        <v>1.3681183237469186E-2</v>
      </c>
      <c r="BN7" s="277">
        <v>0</v>
      </c>
      <c r="BO7" s="277">
        <v>0</v>
      </c>
      <c r="BP7" s="255">
        <v>0</v>
      </c>
      <c r="BQ7" s="162">
        <f t="shared" si="24"/>
        <v>0</v>
      </c>
      <c r="BR7" s="162">
        <f t="shared" si="25"/>
        <v>0</v>
      </c>
      <c r="BS7" s="246">
        <v>4</v>
      </c>
      <c r="BT7" s="81" t="s">
        <v>15</v>
      </c>
      <c r="BU7" s="60">
        <f t="shared" si="26"/>
        <v>0</v>
      </c>
      <c r="BV7" s="58">
        <f t="shared" si="27"/>
        <v>0</v>
      </c>
      <c r="BW7" s="60">
        <v>1</v>
      </c>
      <c r="BX7" s="60">
        <v>4</v>
      </c>
      <c r="BY7" s="60"/>
      <c r="BZ7" s="162"/>
      <c r="CA7" s="162"/>
      <c r="CB7" s="246">
        <v>4</v>
      </c>
      <c r="CC7" s="81" t="s">
        <v>15</v>
      </c>
      <c r="CD7" s="60">
        <f t="shared" si="28"/>
        <v>5</v>
      </c>
      <c r="CE7" s="326">
        <f t="shared" si="29"/>
        <v>4.0277106492669565E-4</v>
      </c>
      <c r="CF7" s="60">
        <v>1</v>
      </c>
      <c r="CG7" s="60">
        <v>4</v>
      </c>
      <c r="CH7" s="60">
        <f t="shared" ref="CH7:CH22" si="32">+CF7+CG7</f>
        <v>5</v>
      </c>
      <c r="CI7" s="60"/>
      <c r="CJ7" s="60">
        <v>0</v>
      </c>
      <c r="CK7" s="60">
        <v>0</v>
      </c>
      <c r="CL7" s="60">
        <v>0</v>
      </c>
      <c r="CM7" s="311">
        <f t="shared" si="30"/>
        <v>0</v>
      </c>
      <c r="CN7" s="60">
        <v>0</v>
      </c>
      <c r="CO7" s="60">
        <v>0</v>
      </c>
      <c r="CP7" s="312">
        <v>348</v>
      </c>
      <c r="CQ7" s="333">
        <f t="shared" si="31"/>
        <v>2.2323433190069922E-2</v>
      </c>
      <c r="CR7" s="82"/>
      <c r="CS7" s="83"/>
      <c r="CT7" s="83"/>
      <c r="CU7" s="83"/>
      <c r="CV7" s="83"/>
      <c r="CW7" s="83"/>
      <c r="CX7" s="83"/>
      <c r="CY7" s="83"/>
      <c r="CZ7" s="83"/>
      <c r="DA7" s="83"/>
      <c r="DB7" s="83"/>
      <c r="DD7" s="2"/>
      <c r="DE7" s="7"/>
      <c r="DF7" s="3"/>
      <c r="DG7" s="2"/>
      <c r="DH7" s="3"/>
      <c r="DI7" s="2"/>
      <c r="DJ7" s="84"/>
      <c r="DK7" s="2"/>
      <c r="DL7" s="84"/>
      <c r="DM7" s="85"/>
      <c r="DN7" s="86"/>
      <c r="DO7" s="85"/>
      <c r="DP7" s="87"/>
      <c r="DQ7" s="2"/>
    </row>
    <row r="8" spans="1:121" ht="14.65">
      <c r="B8" s="76" t="s">
        <v>4</v>
      </c>
      <c r="C8" s="77">
        <v>0</v>
      </c>
      <c r="D8" s="77">
        <v>0</v>
      </c>
      <c r="E8" s="77">
        <v>323</v>
      </c>
      <c r="F8" s="77">
        <v>190</v>
      </c>
      <c r="G8" s="77">
        <v>27</v>
      </c>
      <c r="H8" s="77">
        <v>172</v>
      </c>
      <c r="I8" s="77">
        <v>855</v>
      </c>
      <c r="J8" s="77">
        <v>616</v>
      </c>
      <c r="K8" s="77">
        <v>970</v>
      </c>
      <c r="L8" s="77">
        <v>750</v>
      </c>
      <c r="M8" s="77">
        <v>1483</v>
      </c>
      <c r="N8" s="77">
        <v>694</v>
      </c>
      <c r="O8" s="77">
        <v>612</v>
      </c>
      <c r="P8" s="77">
        <v>937</v>
      </c>
      <c r="Q8" s="77">
        <v>1227</v>
      </c>
      <c r="R8" s="77">
        <v>197</v>
      </c>
      <c r="S8" s="77">
        <v>1317</v>
      </c>
      <c r="T8" s="77">
        <v>310</v>
      </c>
      <c r="U8" s="78">
        <v>27.662255828607435</v>
      </c>
      <c r="V8" s="78">
        <v>2.899906454630496</v>
      </c>
      <c r="W8" s="77">
        <f>205+141+10+25+172</f>
        <v>553</v>
      </c>
      <c r="X8" s="77">
        <f>18+358+636</f>
        <v>1012</v>
      </c>
      <c r="Y8" s="79">
        <f t="shared" si="2"/>
        <v>0.65755053507728889</v>
      </c>
      <c r="Z8" s="79">
        <f t="shared" si="3"/>
        <v>0.12380719354049426</v>
      </c>
      <c r="AA8" s="238">
        <f t="shared" si="4"/>
        <v>1565</v>
      </c>
      <c r="AB8" s="58">
        <f t="shared" si="5"/>
        <v>0.17359955629506379</v>
      </c>
      <c r="AC8" s="60">
        <f>201+5+128+3+3+11+1+96+6+5+112</f>
        <v>571</v>
      </c>
      <c r="AD8" s="60">
        <f>1+95+96+96+10+108+1+25+68</f>
        <v>500</v>
      </c>
      <c r="AE8" s="79">
        <f t="shared" si="6"/>
        <v>9.0148405431007259E-2</v>
      </c>
      <c r="AF8" s="79">
        <f t="shared" si="7"/>
        <v>5.7950857672693555E-2</v>
      </c>
      <c r="AG8" s="60">
        <f t="shared" si="8"/>
        <v>1071</v>
      </c>
      <c r="AH8" s="79">
        <f t="shared" si="9"/>
        <v>7.1581339393129259E-2</v>
      </c>
      <c r="AI8" s="57">
        <v>274</v>
      </c>
      <c r="AJ8" s="57">
        <v>907</v>
      </c>
      <c r="AK8" s="79">
        <f t="shared" si="10"/>
        <v>9.6241657885493506E-2</v>
      </c>
      <c r="AL8" s="79">
        <f t="shared" si="11"/>
        <v>0.12726252280061737</v>
      </c>
      <c r="AM8" s="60">
        <f t="shared" si="12"/>
        <v>1181</v>
      </c>
      <c r="AN8" s="79">
        <f t="shared" si="13"/>
        <v>0.11840786043713655</v>
      </c>
      <c r="AO8" s="55">
        <v>158</v>
      </c>
      <c r="AP8" s="55">
        <v>557</v>
      </c>
      <c r="AQ8" s="162">
        <f t="shared" si="14"/>
        <v>9.711124769514444E-2</v>
      </c>
      <c r="AR8" s="162">
        <f t="shared" si="15"/>
        <v>0.10318636532048907</v>
      </c>
      <c r="AS8" s="55">
        <v>199</v>
      </c>
      <c r="AT8" s="55">
        <v>582</v>
      </c>
      <c r="AU8" s="162">
        <f t="shared" si="16"/>
        <v>0.18025362318840579</v>
      </c>
      <c r="AV8" s="162">
        <f t="shared" si="17"/>
        <v>5.8492462311557789E-2</v>
      </c>
      <c r="AW8" s="210">
        <f>269+2</f>
        <v>271</v>
      </c>
      <c r="AX8" s="210">
        <f>375+243</f>
        <v>618</v>
      </c>
      <c r="AY8" s="162">
        <f t="shared" si="18"/>
        <v>0.4182098765432099</v>
      </c>
      <c r="AZ8" s="162">
        <f t="shared" si="19"/>
        <v>4.5975301294450231E-2</v>
      </c>
      <c r="BA8" s="210">
        <v>23</v>
      </c>
      <c r="BB8" s="210">
        <v>866</v>
      </c>
      <c r="BC8" s="162">
        <f t="shared" si="20"/>
        <v>2.8395061728395062E-2</v>
      </c>
      <c r="BD8" s="162">
        <f t="shared" si="21"/>
        <v>8.2077528196379493E-2</v>
      </c>
      <c r="BE8" s="60">
        <v>234</v>
      </c>
      <c r="BF8" s="60">
        <v>1167</v>
      </c>
      <c r="BG8" s="162">
        <f t="shared" si="0"/>
        <v>0.35944700460829493</v>
      </c>
      <c r="BH8" s="162">
        <f t="shared" si="1"/>
        <v>0.13843416370106762</v>
      </c>
      <c r="BI8" s="60">
        <v>1776</v>
      </c>
      <c r="BJ8" s="60">
        <v>1535</v>
      </c>
      <c r="BK8" s="60">
        <v>1</v>
      </c>
      <c r="BL8" s="162">
        <f t="shared" si="22"/>
        <v>0.3155089713981169</v>
      </c>
      <c r="BM8" s="162">
        <f t="shared" si="23"/>
        <v>6.3064913722267871E-2</v>
      </c>
      <c r="BN8" s="277">
        <v>90</v>
      </c>
      <c r="BO8" s="277">
        <v>84</v>
      </c>
      <c r="BP8" s="255">
        <v>174</v>
      </c>
      <c r="BQ8" s="162">
        <f t="shared" si="24"/>
        <v>1.404932875429285E-2</v>
      </c>
      <c r="BR8" s="162">
        <f t="shared" si="25"/>
        <v>1.3981358189081226E-2</v>
      </c>
      <c r="BS8" s="246">
        <v>5</v>
      </c>
      <c r="BT8" s="81" t="s">
        <v>4</v>
      </c>
      <c r="BU8" s="60">
        <f t="shared" si="26"/>
        <v>174</v>
      </c>
      <c r="BV8" s="58">
        <f t="shared" si="27"/>
        <v>1.401643305944901E-2</v>
      </c>
      <c r="BW8" s="60">
        <v>6</v>
      </c>
      <c r="BX8" s="60"/>
      <c r="BY8" s="60"/>
      <c r="BZ8" s="162"/>
      <c r="CA8" s="162"/>
      <c r="CB8" s="246">
        <v>5</v>
      </c>
      <c r="CC8" s="81" t="s">
        <v>4</v>
      </c>
      <c r="CD8" s="60">
        <f t="shared" si="28"/>
        <v>6</v>
      </c>
      <c r="CE8" s="326">
        <f t="shared" si="29"/>
        <v>4.833252779120348E-4</v>
      </c>
      <c r="CF8" s="60">
        <v>6</v>
      </c>
      <c r="CG8" s="60"/>
      <c r="CH8" s="60">
        <f t="shared" si="32"/>
        <v>6</v>
      </c>
      <c r="CI8" s="60"/>
      <c r="CJ8" s="60">
        <v>84</v>
      </c>
      <c r="CK8" s="60">
        <v>84</v>
      </c>
      <c r="CL8" s="60">
        <v>0</v>
      </c>
      <c r="CM8" s="311">
        <f t="shared" si="30"/>
        <v>566</v>
      </c>
      <c r="CN8" s="60">
        <v>6</v>
      </c>
      <c r="CO8" s="60">
        <v>560</v>
      </c>
      <c r="CP8" s="312">
        <v>0</v>
      </c>
      <c r="CQ8" s="333">
        <f t="shared" si="31"/>
        <v>3.6307652832125219E-2</v>
      </c>
      <c r="CR8" s="82"/>
      <c r="CS8" s="83"/>
      <c r="CT8" s="83"/>
      <c r="CU8" s="83"/>
      <c r="CV8" s="83"/>
      <c r="CW8" s="83"/>
      <c r="CX8" s="83"/>
      <c r="CY8" s="83"/>
      <c r="CZ8" s="83"/>
      <c r="DA8" s="83"/>
      <c r="DB8" s="83"/>
      <c r="DD8" s="2"/>
      <c r="DE8" s="7"/>
      <c r="DF8" s="3"/>
      <c r="DG8" s="2"/>
      <c r="DH8" s="3"/>
      <c r="DI8" s="2"/>
      <c r="DJ8" s="84"/>
      <c r="DK8" s="2"/>
      <c r="DL8" s="84"/>
      <c r="DM8" s="85"/>
      <c r="DN8" s="86"/>
      <c r="DO8" s="85"/>
      <c r="DP8" s="87"/>
      <c r="DQ8" s="2"/>
    </row>
    <row r="9" spans="1:121" ht="14.65">
      <c r="B9" s="76" t="s">
        <v>8</v>
      </c>
      <c r="C9" s="77">
        <v>0</v>
      </c>
      <c r="D9" s="77">
        <v>90</v>
      </c>
      <c r="E9" s="77">
        <v>0</v>
      </c>
      <c r="F9" s="77">
        <v>35</v>
      </c>
      <c r="G9" s="77">
        <v>0</v>
      </c>
      <c r="H9" s="77">
        <v>0</v>
      </c>
      <c r="I9" s="77">
        <v>1</v>
      </c>
      <c r="J9" s="77">
        <v>66</v>
      </c>
      <c r="K9" s="77">
        <v>0</v>
      </c>
      <c r="L9" s="77">
        <v>1</v>
      </c>
      <c r="M9" s="77">
        <v>0</v>
      </c>
      <c r="N9" s="77">
        <v>1</v>
      </c>
      <c r="O9" s="77">
        <v>0</v>
      </c>
      <c r="P9" s="77">
        <v>1</v>
      </c>
      <c r="Q9" s="77">
        <v>3</v>
      </c>
      <c r="R9" s="77">
        <v>32</v>
      </c>
      <c r="S9" s="77">
        <v>0</v>
      </c>
      <c r="T9" s="77">
        <v>0</v>
      </c>
      <c r="U9" s="78">
        <v>0</v>
      </c>
      <c r="V9" s="78">
        <v>0</v>
      </c>
      <c r="W9" s="77">
        <v>1</v>
      </c>
      <c r="X9" s="77">
        <v>15</v>
      </c>
      <c r="Y9" s="79">
        <f t="shared" si="2"/>
        <v>1.1890606420927466E-3</v>
      </c>
      <c r="Z9" s="79">
        <f t="shared" si="3"/>
        <v>1.8350868607780767E-3</v>
      </c>
      <c r="AA9" s="238">
        <f t="shared" si="4"/>
        <v>16</v>
      </c>
      <c r="AB9" s="58">
        <f t="shared" si="5"/>
        <v>1.7748197448696616E-3</v>
      </c>
      <c r="AC9" s="60">
        <v>0</v>
      </c>
      <c r="AD9" s="60">
        <f>12+13+24+12</f>
        <v>61</v>
      </c>
      <c r="AE9" s="79">
        <f t="shared" si="6"/>
        <v>0</v>
      </c>
      <c r="AF9" s="79">
        <f t="shared" si="7"/>
        <v>7.070004636068614E-3</v>
      </c>
      <c r="AG9" s="60">
        <f t="shared" si="8"/>
        <v>61</v>
      </c>
      <c r="AH9" s="79">
        <f t="shared" si="9"/>
        <v>4.0769950541371478E-3</v>
      </c>
      <c r="AI9" s="57">
        <v>13</v>
      </c>
      <c r="AJ9" s="57">
        <v>12</v>
      </c>
      <c r="AK9" s="79">
        <f t="shared" si="10"/>
        <v>4.5662100456621002E-3</v>
      </c>
      <c r="AL9" s="79">
        <f t="shared" si="11"/>
        <v>1.6837378981338573E-3</v>
      </c>
      <c r="AM9" s="60">
        <f t="shared" si="12"/>
        <v>25</v>
      </c>
      <c r="AN9" s="79">
        <f t="shared" si="13"/>
        <v>2.5065169440545419E-3</v>
      </c>
      <c r="AO9" s="55">
        <v>0</v>
      </c>
      <c r="AP9" s="55">
        <v>0</v>
      </c>
      <c r="AQ9" s="162">
        <f t="shared" si="14"/>
        <v>0</v>
      </c>
      <c r="AR9" s="162">
        <f t="shared" si="15"/>
        <v>0</v>
      </c>
      <c r="AS9" s="55">
        <v>0</v>
      </c>
      <c r="AT9" s="55">
        <v>11</v>
      </c>
      <c r="AU9" s="162">
        <f t="shared" si="16"/>
        <v>0</v>
      </c>
      <c r="AV9" s="162">
        <f t="shared" si="17"/>
        <v>1.1055276381909548E-3</v>
      </c>
      <c r="AW9" s="210">
        <v>0</v>
      </c>
      <c r="AX9" s="210">
        <v>12</v>
      </c>
      <c r="AY9" s="162">
        <f t="shared" si="18"/>
        <v>0</v>
      </c>
      <c r="AZ9" s="162">
        <f t="shared" si="19"/>
        <v>8.9272429697961615E-4</v>
      </c>
      <c r="BA9" s="210">
        <v>0</v>
      </c>
      <c r="BB9" s="210">
        <v>0</v>
      </c>
      <c r="BC9" s="162">
        <f t="shared" si="20"/>
        <v>0</v>
      </c>
      <c r="BD9" s="162">
        <f t="shared" si="21"/>
        <v>0</v>
      </c>
      <c r="BE9" s="60">
        <v>1</v>
      </c>
      <c r="BF9" s="60">
        <v>6</v>
      </c>
      <c r="BG9" s="162">
        <f t="shared" si="0"/>
        <v>1.5360983102918587E-3</v>
      </c>
      <c r="BH9" s="162">
        <f t="shared" si="1"/>
        <v>7.1174377224199293E-4</v>
      </c>
      <c r="BI9" s="60">
        <v>4</v>
      </c>
      <c r="BJ9" s="60">
        <v>21</v>
      </c>
      <c r="BK9" s="60">
        <v>92</v>
      </c>
      <c r="BL9" s="162">
        <f t="shared" si="22"/>
        <v>7.1060579143720018E-4</v>
      </c>
      <c r="BM9" s="162">
        <f t="shared" si="23"/>
        <v>8.6277732128184055E-4</v>
      </c>
      <c r="BN9" s="277">
        <v>18</v>
      </c>
      <c r="BO9" s="277">
        <v>18</v>
      </c>
      <c r="BP9" s="255">
        <v>36</v>
      </c>
      <c r="BQ9" s="162">
        <f t="shared" si="24"/>
        <v>2.8098657508585701E-3</v>
      </c>
      <c r="BR9" s="162">
        <f t="shared" si="25"/>
        <v>2.9960053262316909E-3</v>
      </c>
      <c r="BS9" s="246">
        <v>6</v>
      </c>
      <c r="BT9" s="81" t="s">
        <v>8</v>
      </c>
      <c r="BU9" s="60">
        <f t="shared" si="26"/>
        <v>36</v>
      </c>
      <c r="BV9" s="58">
        <f t="shared" si="27"/>
        <v>2.8999516674722086E-3</v>
      </c>
      <c r="BW9" s="60"/>
      <c r="BX9" s="60">
        <v>6</v>
      </c>
      <c r="BY9" s="60">
        <v>8</v>
      </c>
      <c r="BZ9" s="162"/>
      <c r="CA9" s="162"/>
      <c r="CB9" s="246">
        <v>6</v>
      </c>
      <c r="CC9" s="81" t="s">
        <v>8</v>
      </c>
      <c r="CD9" s="60">
        <f t="shared" si="28"/>
        <v>6</v>
      </c>
      <c r="CE9" s="58">
        <f t="shared" si="29"/>
        <v>4.833252779120348E-4</v>
      </c>
      <c r="CF9" s="60"/>
      <c r="CG9" s="60">
        <v>6</v>
      </c>
      <c r="CH9" s="60">
        <f t="shared" si="32"/>
        <v>6</v>
      </c>
      <c r="CI9" s="60">
        <v>8</v>
      </c>
      <c r="CJ9" s="60">
        <v>18</v>
      </c>
      <c r="CK9" s="60">
        <v>18</v>
      </c>
      <c r="CL9" s="60">
        <v>0</v>
      </c>
      <c r="CM9" s="311">
        <f t="shared" si="30"/>
        <v>18</v>
      </c>
      <c r="CN9" s="60">
        <v>0</v>
      </c>
      <c r="CO9" s="60">
        <v>18</v>
      </c>
      <c r="CP9" s="312">
        <v>0</v>
      </c>
      <c r="CQ9" s="333">
        <f t="shared" si="31"/>
        <v>1.1546603374174096E-3</v>
      </c>
      <c r="CR9" s="82"/>
      <c r="CS9" s="83"/>
      <c r="CT9" s="83"/>
      <c r="CU9" s="83"/>
      <c r="CV9" s="83"/>
      <c r="CW9" s="83"/>
      <c r="CX9" s="83"/>
      <c r="CY9" s="83"/>
      <c r="CZ9" s="83"/>
      <c r="DA9" s="83"/>
      <c r="DB9" s="83"/>
      <c r="DD9" s="2"/>
      <c r="DE9" s="7"/>
      <c r="DF9" s="3"/>
      <c r="DG9" s="2"/>
      <c r="DH9" s="3"/>
      <c r="DI9" s="2"/>
      <c r="DJ9" s="84"/>
      <c r="DK9" s="2"/>
      <c r="DL9" s="84"/>
      <c r="DM9" s="85"/>
      <c r="DN9" s="86"/>
      <c r="DO9" s="85"/>
      <c r="DP9" s="87"/>
      <c r="DQ9" s="2"/>
    </row>
    <row r="10" spans="1:121" ht="14.65">
      <c r="B10" s="76" t="s">
        <v>1</v>
      </c>
      <c r="C10" s="77">
        <v>5935</v>
      </c>
      <c r="D10" s="77">
        <v>167</v>
      </c>
      <c r="E10" s="77">
        <v>4465</v>
      </c>
      <c r="F10" s="77">
        <v>328</v>
      </c>
      <c r="G10" s="77">
        <v>4895</v>
      </c>
      <c r="H10" s="77">
        <v>408</v>
      </c>
      <c r="I10" s="77">
        <v>3264</v>
      </c>
      <c r="J10" s="77">
        <v>1510</v>
      </c>
      <c r="K10" s="77">
        <v>4109</v>
      </c>
      <c r="L10" s="77">
        <v>817</v>
      </c>
      <c r="M10" s="77">
        <v>2046</v>
      </c>
      <c r="N10" s="77">
        <v>1174</v>
      </c>
      <c r="O10" s="77">
        <v>170</v>
      </c>
      <c r="P10" s="77">
        <v>1511</v>
      </c>
      <c r="Q10" s="77">
        <v>2542</v>
      </c>
      <c r="R10" s="77">
        <v>1007</v>
      </c>
      <c r="S10" s="77">
        <v>3239</v>
      </c>
      <c r="T10" s="77">
        <v>3277</v>
      </c>
      <c r="U10" s="78">
        <v>68.031926065952533</v>
      </c>
      <c r="V10" s="78">
        <v>30.654817586529468</v>
      </c>
      <c r="W10" s="77">
        <f>35+2+2+2</f>
        <v>41</v>
      </c>
      <c r="X10" s="77">
        <f>1543+296+3+4</f>
        <v>1846</v>
      </c>
      <c r="Y10" s="79">
        <f t="shared" si="2"/>
        <v>4.8751486325802618E-2</v>
      </c>
      <c r="Z10" s="79">
        <f t="shared" si="3"/>
        <v>0.22583802299975533</v>
      </c>
      <c r="AA10" s="238">
        <f t="shared" si="4"/>
        <v>1887</v>
      </c>
      <c r="AB10" s="58">
        <f t="shared" si="5"/>
        <v>0.20931780366056571</v>
      </c>
      <c r="AC10" s="60">
        <f>4057+456+1+394+313</f>
        <v>5221</v>
      </c>
      <c r="AD10" s="60">
        <f>741+434+1+112+2+1+27+145+3+1</f>
        <v>1467</v>
      </c>
      <c r="AE10" s="79">
        <f t="shared" si="6"/>
        <v>0.82428165456267766</v>
      </c>
      <c r="AF10" s="79">
        <f t="shared" si="7"/>
        <v>0.17002781641168288</v>
      </c>
      <c r="AG10" s="60">
        <f t="shared" si="8"/>
        <v>6688</v>
      </c>
      <c r="AH10" s="79">
        <f>+AG10/$AG$23</f>
        <v>0.44699906429621711</v>
      </c>
      <c r="AI10" s="57">
        <v>2353</v>
      </c>
      <c r="AJ10" s="57">
        <v>1051</v>
      </c>
      <c r="AK10" s="79">
        <f t="shared" si="10"/>
        <v>0.82648401826484019</v>
      </c>
      <c r="AL10" s="79">
        <f t="shared" si="11"/>
        <v>0.14746737757822365</v>
      </c>
      <c r="AM10" s="60">
        <f t="shared" si="12"/>
        <v>3404</v>
      </c>
      <c r="AN10" s="79">
        <f t="shared" si="13"/>
        <v>0.34128734710246639</v>
      </c>
      <c r="AO10" s="57">
        <v>1439</v>
      </c>
      <c r="AP10" s="57">
        <v>652</v>
      </c>
      <c r="AQ10" s="162">
        <f t="shared" si="14"/>
        <v>0.88444990780577748</v>
      </c>
      <c r="AR10" s="162">
        <f t="shared" si="15"/>
        <v>0.12078547610226009</v>
      </c>
      <c r="AS10" s="57">
        <v>99</v>
      </c>
      <c r="AT10" s="57">
        <v>778</v>
      </c>
      <c r="AU10" s="162">
        <f t="shared" si="16"/>
        <v>8.9673913043478257E-2</v>
      </c>
      <c r="AV10" s="162">
        <f t="shared" si="17"/>
        <v>7.8190954773869351E-2</v>
      </c>
      <c r="AW10" s="210">
        <v>92</v>
      </c>
      <c r="AX10" s="210">
        <f>1633+1092</f>
        <v>2725</v>
      </c>
      <c r="AY10" s="162">
        <f t="shared" si="18"/>
        <v>0.1419753086419753</v>
      </c>
      <c r="AZ10" s="162">
        <f t="shared" si="19"/>
        <v>0.20272280910578783</v>
      </c>
      <c r="BA10" s="210">
        <v>50</v>
      </c>
      <c r="BB10" s="210">
        <v>1664</v>
      </c>
      <c r="BC10" s="162">
        <f t="shared" si="20"/>
        <v>6.1728395061728392E-2</v>
      </c>
      <c r="BD10" s="162">
        <f t="shared" si="21"/>
        <v>0.15771016965216567</v>
      </c>
      <c r="BE10" s="60">
        <v>202</v>
      </c>
      <c r="BF10" s="60">
        <v>1232</v>
      </c>
      <c r="BG10" s="162">
        <f t="shared" si="0"/>
        <v>0.31029185867895548</v>
      </c>
      <c r="BH10" s="162">
        <f t="shared" si="1"/>
        <v>0.14614472123368921</v>
      </c>
      <c r="BI10" s="60">
        <v>881</v>
      </c>
      <c r="BJ10" s="60">
        <v>1871</v>
      </c>
      <c r="BK10" s="60">
        <v>60</v>
      </c>
      <c r="BL10" s="162">
        <f t="shared" si="22"/>
        <v>0.15651092556404334</v>
      </c>
      <c r="BM10" s="162">
        <f t="shared" si="23"/>
        <v>7.6869350862777325E-2</v>
      </c>
      <c r="BN10" s="277">
        <v>675</v>
      </c>
      <c r="BO10" s="277">
        <v>1</v>
      </c>
      <c r="BP10" s="255">
        <v>676</v>
      </c>
      <c r="BQ10" s="244">
        <f t="shared" si="24"/>
        <v>0.10536996565719638</v>
      </c>
      <c r="BR10" s="162">
        <f t="shared" si="25"/>
        <v>1.6644474034620507E-4</v>
      </c>
      <c r="BS10" s="246">
        <v>7</v>
      </c>
      <c r="BT10" s="81" t="s">
        <v>1</v>
      </c>
      <c r="BU10" s="60">
        <f t="shared" si="26"/>
        <v>676</v>
      </c>
      <c r="BV10" s="58">
        <f t="shared" si="27"/>
        <v>5.4454647978089257E-2</v>
      </c>
      <c r="BW10" s="60">
        <v>25</v>
      </c>
      <c r="BX10" s="60">
        <v>53</v>
      </c>
      <c r="BY10" s="60"/>
      <c r="BZ10" s="162"/>
      <c r="CA10" s="162"/>
      <c r="CB10" s="246">
        <v>7</v>
      </c>
      <c r="CC10" s="81" t="s">
        <v>1</v>
      </c>
      <c r="CD10" s="60">
        <f t="shared" si="28"/>
        <v>78</v>
      </c>
      <c r="CE10" s="326">
        <f t="shared" si="29"/>
        <v>6.2832286128564523E-3</v>
      </c>
      <c r="CF10" s="60">
        <v>25</v>
      </c>
      <c r="CG10" s="60">
        <v>53</v>
      </c>
      <c r="CH10" s="60">
        <f t="shared" si="32"/>
        <v>78</v>
      </c>
      <c r="CI10" s="60"/>
      <c r="CJ10" s="60">
        <v>1</v>
      </c>
      <c r="CK10" s="60">
        <v>1</v>
      </c>
      <c r="CL10" s="60">
        <v>0</v>
      </c>
      <c r="CM10" s="311">
        <f t="shared" si="30"/>
        <v>1355</v>
      </c>
      <c r="CN10" s="60">
        <v>1348</v>
      </c>
      <c r="CO10" s="60">
        <v>7</v>
      </c>
      <c r="CP10" s="312">
        <v>0</v>
      </c>
      <c r="CQ10" s="335">
        <f t="shared" si="31"/>
        <v>8.6920264288921675E-2</v>
      </c>
      <c r="CR10" s="82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D10" s="2"/>
      <c r="DE10" s="7"/>
      <c r="DF10" s="3"/>
      <c r="DG10" s="2"/>
      <c r="DH10" s="3"/>
      <c r="DI10" s="2"/>
      <c r="DJ10" s="84"/>
      <c r="DK10" s="2"/>
      <c r="DL10" s="84"/>
      <c r="DM10" s="85"/>
      <c r="DN10" s="86"/>
      <c r="DO10" s="85"/>
      <c r="DP10" s="87"/>
      <c r="DQ10" s="2"/>
    </row>
    <row r="11" spans="1:121" ht="15.4">
      <c r="B11" s="76" t="s">
        <v>2</v>
      </c>
      <c r="C11" s="77">
        <v>546</v>
      </c>
      <c r="D11" s="77">
        <v>2999</v>
      </c>
      <c r="E11" s="77">
        <v>439</v>
      </c>
      <c r="F11" s="77">
        <v>4833</v>
      </c>
      <c r="G11" s="77">
        <v>363</v>
      </c>
      <c r="H11" s="77">
        <v>4381</v>
      </c>
      <c r="I11" s="77">
        <v>159</v>
      </c>
      <c r="J11" s="77">
        <v>4353</v>
      </c>
      <c r="K11" s="77">
        <v>2</v>
      </c>
      <c r="L11" s="77">
        <v>2343</v>
      </c>
      <c r="M11" s="77">
        <v>2</v>
      </c>
      <c r="N11" s="77">
        <v>2175</v>
      </c>
      <c r="O11" s="88">
        <v>42</v>
      </c>
      <c r="P11" s="88">
        <v>1355</v>
      </c>
      <c r="Q11" s="77">
        <v>1269</v>
      </c>
      <c r="R11" s="77">
        <v>2306</v>
      </c>
      <c r="S11" s="77">
        <v>7</v>
      </c>
      <c r="T11" s="77">
        <v>1801</v>
      </c>
      <c r="U11" s="78">
        <v>0.14702793530770847</v>
      </c>
      <c r="V11" s="78">
        <v>16.847521047708138</v>
      </c>
      <c r="W11" s="77">
        <f>11+1+1</f>
        <v>13</v>
      </c>
      <c r="X11" s="77">
        <f>401+71+105+142</f>
        <v>719</v>
      </c>
      <c r="Y11" s="79">
        <f t="shared" si="2"/>
        <v>1.5457788347205707E-2</v>
      </c>
      <c r="Z11" s="79">
        <f t="shared" si="3"/>
        <v>8.7961830193295815E-2</v>
      </c>
      <c r="AA11" s="238">
        <f t="shared" si="4"/>
        <v>732</v>
      </c>
      <c r="AB11" s="58">
        <f t="shared" si="5"/>
        <v>8.1198003327787024E-2</v>
      </c>
      <c r="AC11" s="60">
        <f>97+324+2</f>
        <v>423</v>
      </c>
      <c r="AD11" s="60">
        <f>97+984+240+1+1+1+1</f>
        <v>1325</v>
      </c>
      <c r="AE11" s="79">
        <f t="shared" si="6"/>
        <v>6.6782443953268072E-2</v>
      </c>
      <c r="AF11" s="79">
        <f t="shared" si="7"/>
        <v>0.15356977283263792</v>
      </c>
      <c r="AG11" s="60">
        <f t="shared" si="8"/>
        <v>1748</v>
      </c>
      <c r="AH11" s="79">
        <f t="shared" si="9"/>
        <v>0.11682930089560219</v>
      </c>
      <c r="AI11" s="57">
        <v>1</v>
      </c>
      <c r="AJ11" s="57">
        <v>774</v>
      </c>
      <c r="AK11" s="79">
        <f t="shared" si="10"/>
        <v>3.5124692658939234E-4</v>
      </c>
      <c r="AL11" s="79">
        <f t="shared" si="11"/>
        <v>0.10860109442963378</v>
      </c>
      <c r="AM11" s="60">
        <f t="shared" si="12"/>
        <v>775</v>
      </c>
      <c r="AN11" s="79">
        <f t="shared" si="13"/>
        <v>7.7702025265690797E-2</v>
      </c>
      <c r="AO11" s="55">
        <v>0</v>
      </c>
      <c r="AP11" s="55">
        <v>769</v>
      </c>
      <c r="AQ11" s="162">
        <f t="shared" si="14"/>
        <v>0</v>
      </c>
      <c r="AR11" s="162">
        <f t="shared" si="15"/>
        <v>0.14246017043349388</v>
      </c>
      <c r="AS11" s="55">
        <v>2</v>
      </c>
      <c r="AT11" s="55">
        <v>1078</v>
      </c>
      <c r="AU11" s="162">
        <f t="shared" si="16"/>
        <v>1.8115942028985507E-3</v>
      </c>
      <c r="AV11" s="162">
        <f t="shared" si="17"/>
        <v>0.10834170854271356</v>
      </c>
      <c r="AW11" s="210">
        <v>0</v>
      </c>
      <c r="AX11" s="210">
        <v>1310</v>
      </c>
      <c r="AY11" s="162">
        <f t="shared" si="18"/>
        <v>0</v>
      </c>
      <c r="AZ11" s="162">
        <f t="shared" si="19"/>
        <v>9.7455735753608094E-2</v>
      </c>
      <c r="BA11" s="210">
        <v>1</v>
      </c>
      <c r="BB11" s="210">
        <v>664</v>
      </c>
      <c r="BC11" s="162">
        <f t="shared" si="20"/>
        <v>1.2345679012345679E-3</v>
      </c>
      <c r="BD11" s="162">
        <f t="shared" si="21"/>
        <v>6.293242346696995E-2</v>
      </c>
      <c r="BE11" s="60">
        <v>6</v>
      </c>
      <c r="BF11" s="60">
        <v>1314</v>
      </c>
      <c r="BG11" s="162">
        <f t="shared" si="0"/>
        <v>9.2165898617511521E-3</v>
      </c>
      <c r="BH11" s="162">
        <f t="shared" si="1"/>
        <v>0.15587188612099645</v>
      </c>
      <c r="BI11" s="60">
        <v>107</v>
      </c>
      <c r="BJ11" s="60">
        <v>1786</v>
      </c>
      <c r="BK11" s="60">
        <v>711</v>
      </c>
      <c r="BL11" s="162">
        <f t="shared" si="22"/>
        <v>1.9008704920945106E-2</v>
      </c>
      <c r="BM11" s="162">
        <f t="shared" si="23"/>
        <v>7.3377156943303198E-2</v>
      </c>
      <c r="BN11" s="277">
        <v>1</v>
      </c>
      <c r="BO11" s="277">
        <v>21</v>
      </c>
      <c r="BP11" s="255">
        <v>22</v>
      </c>
      <c r="BQ11" s="162">
        <f t="shared" si="24"/>
        <v>1.5610365282547612E-4</v>
      </c>
      <c r="BR11" s="162">
        <f t="shared" si="25"/>
        <v>3.4953395472703064E-3</v>
      </c>
      <c r="BS11" s="246">
        <v>8</v>
      </c>
      <c r="BT11" s="81" t="s">
        <v>2</v>
      </c>
      <c r="BU11" s="60">
        <f t="shared" si="26"/>
        <v>22</v>
      </c>
      <c r="BV11" s="58">
        <f t="shared" si="27"/>
        <v>1.7721926856774609E-3</v>
      </c>
      <c r="BW11" s="60"/>
      <c r="BX11" s="60"/>
      <c r="BY11" s="60">
        <v>8</v>
      </c>
      <c r="BZ11" s="162"/>
      <c r="CA11" s="162"/>
      <c r="CB11" s="246">
        <v>8</v>
      </c>
      <c r="CC11" s="81" t="s">
        <v>2</v>
      </c>
      <c r="CD11" s="60">
        <f t="shared" si="28"/>
        <v>0</v>
      </c>
      <c r="CE11" s="326">
        <f t="shared" si="29"/>
        <v>0</v>
      </c>
      <c r="CF11" s="60"/>
      <c r="CG11" s="60"/>
      <c r="CH11" s="60">
        <f t="shared" si="32"/>
        <v>0</v>
      </c>
      <c r="CI11" s="60">
        <v>8</v>
      </c>
      <c r="CJ11" s="60">
        <v>1</v>
      </c>
      <c r="CK11" s="60">
        <v>1</v>
      </c>
      <c r="CL11" s="60">
        <v>0</v>
      </c>
      <c r="CM11" s="311">
        <f t="shared" si="30"/>
        <v>22</v>
      </c>
      <c r="CN11" s="60">
        <v>0</v>
      </c>
      <c r="CO11" s="60">
        <v>22</v>
      </c>
      <c r="CP11" s="312">
        <v>0</v>
      </c>
      <c r="CQ11" s="333">
        <f t="shared" si="31"/>
        <v>1.4112515235101674E-3</v>
      </c>
      <c r="CR11" s="82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D11" s="2"/>
      <c r="DE11" s="7"/>
      <c r="DF11" s="3"/>
      <c r="DG11" s="2"/>
      <c r="DH11" s="3"/>
      <c r="DI11" s="2"/>
      <c r="DJ11" s="84"/>
      <c r="DK11" s="2"/>
      <c r="DL11" s="84"/>
      <c r="DM11" s="85"/>
      <c r="DN11" s="86"/>
      <c r="DO11" s="85"/>
      <c r="DP11" s="87"/>
      <c r="DQ11" s="2"/>
    </row>
    <row r="12" spans="1:121" ht="14.65">
      <c r="B12" s="76" t="s">
        <v>16</v>
      </c>
      <c r="C12" s="77">
        <v>292</v>
      </c>
      <c r="D12" s="77">
        <v>1016</v>
      </c>
      <c r="E12" s="77">
        <v>0</v>
      </c>
      <c r="F12" s="77">
        <v>906</v>
      </c>
      <c r="G12" s="77">
        <v>0</v>
      </c>
      <c r="H12" s="77">
        <v>424</v>
      </c>
      <c r="I12" s="77">
        <v>8</v>
      </c>
      <c r="J12" s="77">
        <v>1573</v>
      </c>
      <c r="K12" s="77">
        <v>0</v>
      </c>
      <c r="L12" s="77">
        <v>545</v>
      </c>
      <c r="M12" s="77">
        <v>0</v>
      </c>
      <c r="N12" s="77">
        <v>449</v>
      </c>
      <c r="O12" s="77">
        <v>0</v>
      </c>
      <c r="P12" s="77">
        <v>630</v>
      </c>
      <c r="Q12" s="77">
        <v>3</v>
      </c>
      <c r="R12" s="77">
        <v>1015</v>
      </c>
      <c r="S12" s="77">
        <v>6</v>
      </c>
      <c r="T12" s="77">
        <v>551</v>
      </c>
      <c r="U12" s="78">
        <v>0.12602394454946439</v>
      </c>
      <c r="V12" s="78">
        <v>5.1543498596819459</v>
      </c>
      <c r="W12" s="77">
        <v>3</v>
      </c>
      <c r="X12" s="77">
        <f>348+1+5</f>
        <v>354</v>
      </c>
      <c r="Y12" s="79">
        <f t="shared" si="2"/>
        <v>3.5671819262782403E-3</v>
      </c>
      <c r="Z12" s="79">
        <f t="shared" si="3"/>
        <v>4.3308049914362615E-2</v>
      </c>
      <c r="AA12" s="238">
        <f t="shared" si="4"/>
        <v>357</v>
      </c>
      <c r="AB12" s="58">
        <f t="shared" si="5"/>
        <v>3.9600665557404324E-2</v>
      </c>
      <c r="AC12" s="60">
        <v>0</v>
      </c>
      <c r="AD12" s="60">
        <f>1+4+325+12+2+180</f>
        <v>524</v>
      </c>
      <c r="AE12" s="79">
        <f t="shared" si="6"/>
        <v>0</v>
      </c>
      <c r="AF12" s="79">
        <f t="shared" si="7"/>
        <v>6.0732498840982849E-2</v>
      </c>
      <c r="AG12" s="60">
        <f t="shared" si="8"/>
        <v>524</v>
      </c>
      <c r="AH12" s="79">
        <f t="shared" si="9"/>
        <v>3.5022055874883037E-2</v>
      </c>
      <c r="AI12" s="57">
        <v>0</v>
      </c>
      <c r="AJ12" s="57">
        <v>1117</v>
      </c>
      <c r="AK12" s="79">
        <f t="shared" si="10"/>
        <v>0</v>
      </c>
      <c r="AL12" s="79">
        <f t="shared" si="11"/>
        <v>0.15672793601795987</v>
      </c>
      <c r="AM12" s="60">
        <f t="shared" si="12"/>
        <v>1117</v>
      </c>
      <c r="AN12" s="79">
        <f t="shared" si="13"/>
        <v>0.11199117706035693</v>
      </c>
      <c r="AO12" s="55">
        <v>0</v>
      </c>
      <c r="AP12" s="55">
        <v>506</v>
      </c>
      <c r="AQ12" s="162">
        <f t="shared" si="14"/>
        <v>0</v>
      </c>
      <c r="AR12" s="162">
        <f t="shared" si="15"/>
        <v>9.3738421637643565E-2</v>
      </c>
      <c r="AS12" s="55">
        <v>480</v>
      </c>
      <c r="AT12" s="55">
        <v>1998</v>
      </c>
      <c r="AU12" s="162">
        <f t="shared" si="16"/>
        <v>0.43478260869565216</v>
      </c>
      <c r="AV12" s="162">
        <f t="shared" si="17"/>
        <v>0.20080402010050252</v>
      </c>
      <c r="AW12" s="210">
        <v>110</v>
      </c>
      <c r="AX12" s="210">
        <v>1680</v>
      </c>
      <c r="AY12" s="162">
        <f t="shared" si="18"/>
        <v>0.16975308641975309</v>
      </c>
      <c r="AZ12" s="162">
        <f t="shared" si="19"/>
        <v>0.12498140157714625</v>
      </c>
      <c r="BA12" s="210">
        <v>48</v>
      </c>
      <c r="BB12" s="210">
        <v>758</v>
      </c>
      <c r="BC12" s="162">
        <f t="shared" si="20"/>
        <v>5.9259259259259262E-2</v>
      </c>
      <c r="BD12" s="162">
        <f t="shared" si="21"/>
        <v>7.1841531608378348E-2</v>
      </c>
      <c r="BE12" s="60">
        <v>0</v>
      </c>
      <c r="BF12" s="60">
        <v>1374</v>
      </c>
      <c r="BG12" s="162">
        <f t="shared" si="0"/>
        <v>0</v>
      </c>
      <c r="BH12" s="162">
        <f t="shared" si="1"/>
        <v>0.16298932384341638</v>
      </c>
      <c r="BI12" s="60">
        <v>1803</v>
      </c>
      <c r="BJ12" s="60">
        <v>6128</v>
      </c>
      <c r="BK12" s="60">
        <v>1897</v>
      </c>
      <c r="BL12" s="162">
        <f t="shared" si="22"/>
        <v>0.320305560490318</v>
      </c>
      <c r="BM12" s="162">
        <f t="shared" si="23"/>
        <v>0.25176663927691045</v>
      </c>
      <c r="BN12" s="277">
        <v>3177</v>
      </c>
      <c r="BO12" s="277">
        <v>2077</v>
      </c>
      <c r="BP12" s="255">
        <v>5254</v>
      </c>
      <c r="BQ12" s="244">
        <f t="shared" si="24"/>
        <v>0.4959413050265376</v>
      </c>
      <c r="BR12" s="162">
        <f t="shared" si="25"/>
        <v>0.34570572569906793</v>
      </c>
      <c r="BS12" s="246">
        <v>9</v>
      </c>
      <c r="BT12" s="81" t="s">
        <v>16</v>
      </c>
      <c r="BU12" s="60">
        <f t="shared" si="26"/>
        <v>5254</v>
      </c>
      <c r="BV12" s="316">
        <f t="shared" si="27"/>
        <v>0.4232318350249718</v>
      </c>
      <c r="BW12" s="60"/>
      <c r="BX12" s="60">
        <v>837</v>
      </c>
      <c r="BY12" s="60">
        <v>154</v>
      </c>
      <c r="BZ12" s="162"/>
      <c r="CA12" s="162"/>
      <c r="CB12" s="246">
        <v>9</v>
      </c>
      <c r="CC12" s="81" t="s">
        <v>16</v>
      </c>
      <c r="CD12" s="60">
        <f t="shared" si="28"/>
        <v>837</v>
      </c>
      <c r="CE12" s="58">
        <f t="shared" si="29"/>
        <v>6.7423876268728852E-2</v>
      </c>
      <c r="CF12" s="60"/>
      <c r="CG12" s="60">
        <v>837</v>
      </c>
      <c r="CH12" s="60">
        <f t="shared" si="32"/>
        <v>837</v>
      </c>
      <c r="CI12" s="60">
        <v>154</v>
      </c>
      <c r="CJ12" s="60">
        <v>1238</v>
      </c>
      <c r="CK12" s="60">
        <v>1238</v>
      </c>
      <c r="CL12" s="60">
        <v>0</v>
      </c>
      <c r="CM12" s="311">
        <f t="shared" si="30"/>
        <v>6044</v>
      </c>
      <c r="CN12" s="60">
        <v>2124</v>
      </c>
      <c r="CO12" s="60">
        <v>3920</v>
      </c>
      <c r="CP12" s="312">
        <v>198</v>
      </c>
      <c r="CQ12" s="334">
        <f t="shared" si="31"/>
        <v>0.40041054589774844</v>
      </c>
      <c r="CR12" s="82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D12" s="2"/>
      <c r="DE12" s="7"/>
      <c r="DF12" s="3"/>
      <c r="DG12" s="2"/>
      <c r="DH12" s="3"/>
      <c r="DI12" s="2"/>
      <c r="DJ12" s="84"/>
      <c r="DK12" s="2"/>
      <c r="DL12" s="84"/>
      <c r="DM12" s="85"/>
      <c r="DN12" s="86"/>
      <c r="DO12" s="85"/>
      <c r="DP12" s="87"/>
      <c r="DQ12" s="2"/>
    </row>
    <row r="13" spans="1:121" ht="14.65">
      <c r="B13" s="76" t="s">
        <v>7</v>
      </c>
      <c r="C13" s="77">
        <v>8</v>
      </c>
      <c r="D13" s="77">
        <v>328</v>
      </c>
      <c r="E13" s="77">
        <v>200</v>
      </c>
      <c r="F13" s="77">
        <v>547</v>
      </c>
      <c r="G13" s="77">
        <v>40</v>
      </c>
      <c r="H13" s="77">
        <v>1007</v>
      </c>
      <c r="I13" s="77">
        <v>69</v>
      </c>
      <c r="J13" s="77">
        <v>1080</v>
      </c>
      <c r="K13" s="77">
        <v>0</v>
      </c>
      <c r="L13" s="77">
        <v>759</v>
      </c>
      <c r="M13" s="77">
        <v>0</v>
      </c>
      <c r="N13" s="77">
        <v>733</v>
      </c>
      <c r="O13" s="77">
        <v>2</v>
      </c>
      <c r="P13" s="77">
        <v>1465</v>
      </c>
      <c r="Q13" s="77">
        <v>4</v>
      </c>
      <c r="R13" s="77">
        <v>73</v>
      </c>
      <c r="S13" s="77">
        <v>3</v>
      </c>
      <c r="T13" s="77">
        <v>570</v>
      </c>
      <c r="U13" s="78">
        <v>6.3011972274732195E-2</v>
      </c>
      <c r="V13" s="78">
        <v>5.3320860617399441</v>
      </c>
      <c r="W13" s="77">
        <v>3</v>
      </c>
      <c r="X13" s="77">
        <f>53+16</f>
        <v>69</v>
      </c>
      <c r="Y13" s="79">
        <f t="shared" si="2"/>
        <v>3.5671819262782403E-3</v>
      </c>
      <c r="Z13" s="79">
        <f t="shared" si="3"/>
        <v>8.4413995595791526E-3</v>
      </c>
      <c r="AA13" s="238">
        <f t="shared" si="4"/>
        <v>72</v>
      </c>
      <c r="AB13" s="58">
        <f t="shared" si="5"/>
        <v>7.9866888519134777E-3</v>
      </c>
      <c r="AC13" s="60">
        <v>0</v>
      </c>
      <c r="AD13" s="60">
        <f>192+126+14+158+1</f>
        <v>491</v>
      </c>
      <c r="AE13" s="79">
        <f t="shared" si="6"/>
        <v>0</v>
      </c>
      <c r="AF13" s="79">
        <f t="shared" si="7"/>
        <v>5.6907742234585071E-2</v>
      </c>
      <c r="AG13" s="60">
        <f t="shared" si="8"/>
        <v>491</v>
      </c>
      <c r="AH13" s="79">
        <f t="shared" si="9"/>
        <v>3.2816468386579332E-2</v>
      </c>
      <c r="AI13" s="57">
        <v>22</v>
      </c>
      <c r="AJ13" s="57">
        <v>280</v>
      </c>
      <c r="AK13" s="79">
        <f t="shared" si="10"/>
        <v>7.7274323849666317E-3</v>
      </c>
      <c r="AL13" s="79">
        <f t="shared" si="11"/>
        <v>3.9287217623123337E-2</v>
      </c>
      <c r="AM13" s="60">
        <f t="shared" si="12"/>
        <v>302</v>
      </c>
      <c r="AN13" s="79">
        <f t="shared" si="13"/>
        <v>3.0278724684178866E-2</v>
      </c>
      <c r="AO13" s="55">
        <v>0</v>
      </c>
      <c r="AP13" s="55">
        <v>409</v>
      </c>
      <c r="AQ13" s="162">
        <f t="shared" si="14"/>
        <v>0</v>
      </c>
      <c r="AR13" s="162">
        <f t="shared" si="15"/>
        <v>7.5768803260466838E-2</v>
      </c>
      <c r="AS13" s="55">
        <v>244</v>
      </c>
      <c r="AT13" s="55">
        <v>602</v>
      </c>
      <c r="AU13" s="162">
        <f t="shared" si="16"/>
        <v>0.2210144927536232</v>
      </c>
      <c r="AV13" s="162">
        <f t="shared" si="17"/>
        <v>6.0502512562814068E-2</v>
      </c>
      <c r="AW13" s="210">
        <v>8</v>
      </c>
      <c r="AX13" s="210">
        <f>366+2</f>
        <v>368</v>
      </c>
      <c r="AY13" s="162">
        <f t="shared" si="18"/>
        <v>1.2345679012345678E-2</v>
      </c>
      <c r="AZ13" s="162">
        <f t="shared" si="19"/>
        <v>2.7376878440708227E-2</v>
      </c>
      <c r="BA13" s="210">
        <v>284</v>
      </c>
      <c r="BB13" s="210">
        <v>95</v>
      </c>
      <c r="BC13" s="162">
        <f t="shared" si="20"/>
        <v>0.35061728395061731</v>
      </c>
      <c r="BD13" s="162">
        <f t="shared" si="21"/>
        <v>9.0038858875935938E-3</v>
      </c>
      <c r="BE13" s="60">
        <v>21</v>
      </c>
      <c r="BF13" s="60">
        <v>175</v>
      </c>
      <c r="BG13" s="162">
        <f t="shared" si="0"/>
        <v>3.2258064516129031E-2</v>
      </c>
      <c r="BH13" s="162">
        <f t="shared" si="1"/>
        <v>2.0759193357058125E-2</v>
      </c>
      <c r="BI13" s="60">
        <v>16</v>
      </c>
      <c r="BJ13" s="60">
        <v>596</v>
      </c>
      <c r="BK13" s="60">
        <v>574</v>
      </c>
      <c r="BL13" s="162">
        <f t="shared" si="22"/>
        <v>2.8424231657488007E-3</v>
      </c>
      <c r="BM13" s="162">
        <f t="shared" si="23"/>
        <v>2.4486442070665571E-2</v>
      </c>
      <c r="BN13" s="277">
        <v>3</v>
      </c>
      <c r="BO13" s="277">
        <v>77</v>
      </c>
      <c r="BP13" s="255">
        <v>80</v>
      </c>
      <c r="BQ13" s="162">
        <f t="shared" si="24"/>
        <v>4.6831095847642837E-4</v>
      </c>
      <c r="BR13" s="162">
        <f t="shared" si="25"/>
        <v>1.2816245006657789E-2</v>
      </c>
      <c r="BS13" s="246">
        <v>10</v>
      </c>
      <c r="BT13" s="81" t="s">
        <v>7</v>
      </c>
      <c r="BU13" s="60">
        <f t="shared" si="26"/>
        <v>80</v>
      </c>
      <c r="BV13" s="58">
        <f t="shared" si="27"/>
        <v>6.4443370388271304E-3</v>
      </c>
      <c r="BW13" s="60">
        <v>1</v>
      </c>
      <c r="BX13" s="60">
        <v>33</v>
      </c>
      <c r="BY13" s="60">
        <v>41</v>
      </c>
      <c r="BZ13" s="162"/>
      <c r="CA13" s="162"/>
      <c r="CB13" s="246">
        <v>10</v>
      </c>
      <c r="CC13" s="81" t="s">
        <v>7</v>
      </c>
      <c r="CD13" s="60">
        <f t="shared" si="28"/>
        <v>34</v>
      </c>
      <c r="CE13" s="58">
        <f t="shared" si="29"/>
        <v>2.7388432415015305E-3</v>
      </c>
      <c r="CF13" s="60">
        <v>1</v>
      </c>
      <c r="CG13" s="60">
        <v>33</v>
      </c>
      <c r="CH13" s="60">
        <f t="shared" si="32"/>
        <v>34</v>
      </c>
      <c r="CI13" s="60">
        <v>41</v>
      </c>
      <c r="CJ13" s="60">
        <v>0</v>
      </c>
      <c r="CK13" s="60">
        <v>0</v>
      </c>
      <c r="CL13" s="60">
        <v>2</v>
      </c>
      <c r="CM13" s="311">
        <f t="shared" si="30"/>
        <v>582</v>
      </c>
      <c r="CN13" s="60">
        <v>6</v>
      </c>
      <c r="CO13" s="60">
        <v>576</v>
      </c>
      <c r="CP13" s="312">
        <v>71</v>
      </c>
      <c r="CQ13" s="335">
        <f t="shared" si="31"/>
        <v>4.1888511129642696E-2</v>
      </c>
      <c r="CR13" s="82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D13" s="2"/>
      <c r="DE13" s="7"/>
      <c r="DF13" s="3"/>
      <c r="DG13" s="2"/>
      <c r="DH13" s="3"/>
      <c r="DI13" s="2"/>
      <c r="DJ13" s="84"/>
      <c r="DK13" s="2"/>
      <c r="DL13" s="84"/>
      <c r="DM13" s="85"/>
      <c r="DN13" s="86"/>
      <c r="DO13" s="85"/>
      <c r="DP13" s="87"/>
      <c r="DQ13" s="2"/>
    </row>
    <row r="14" spans="1:121" ht="14.65">
      <c r="B14" s="76" t="s">
        <v>3</v>
      </c>
      <c r="C14" s="77">
        <v>397</v>
      </c>
      <c r="D14" s="77">
        <v>1148</v>
      </c>
      <c r="E14" s="77">
        <v>144</v>
      </c>
      <c r="F14" s="77">
        <v>797</v>
      </c>
      <c r="G14" s="77">
        <v>0</v>
      </c>
      <c r="H14" s="77">
        <v>1712</v>
      </c>
      <c r="I14" s="77">
        <v>266</v>
      </c>
      <c r="J14" s="77">
        <v>2890</v>
      </c>
      <c r="K14" s="77">
        <v>22</v>
      </c>
      <c r="L14" s="77">
        <v>1947</v>
      </c>
      <c r="M14" s="77">
        <v>5</v>
      </c>
      <c r="N14" s="77">
        <v>1564</v>
      </c>
      <c r="O14" s="77">
        <v>32</v>
      </c>
      <c r="P14" s="77">
        <v>583</v>
      </c>
      <c r="Q14" s="77">
        <v>53</v>
      </c>
      <c r="R14" s="77">
        <v>1183</v>
      </c>
      <c r="S14" s="77">
        <v>34</v>
      </c>
      <c r="T14" s="77">
        <v>1088</v>
      </c>
      <c r="U14" s="78">
        <v>0.71413568578029829</v>
      </c>
      <c r="V14" s="78">
        <v>10.177736202057998</v>
      </c>
      <c r="W14" s="77">
        <f>32+1+1</f>
        <v>34</v>
      </c>
      <c r="X14" s="77">
        <f>1130+141+144+11+6</f>
        <v>1432</v>
      </c>
      <c r="Y14" s="79">
        <f t="shared" si="2"/>
        <v>4.042806183115339E-2</v>
      </c>
      <c r="Z14" s="79">
        <f t="shared" si="3"/>
        <v>0.17518962564228041</v>
      </c>
      <c r="AA14" s="238">
        <f t="shared" si="4"/>
        <v>1466</v>
      </c>
      <c r="AB14" s="58">
        <f t="shared" si="5"/>
        <v>0.16261785912368276</v>
      </c>
      <c r="AC14" s="60">
        <f>2+1+1+2+1</f>
        <v>7</v>
      </c>
      <c r="AD14" s="60">
        <f>105+4+142+2+116+489+1+168+113</f>
        <v>1140</v>
      </c>
      <c r="AE14" s="79">
        <f t="shared" si="6"/>
        <v>1.1051468266498263E-3</v>
      </c>
      <c r="AF14" s="79">
        <f t="shared" si="7"/>
        <v>0.13212795549374132</v>
      </c>
      <c r="AG14" s="60">
        <f t="shared" si="8"/>
        <v>1147</v>
      </c>
      <c r="AH14" s="79">
        <f t="shared" si="9"/>
        <v>7.6660874214677183E-2</v>
      </c>
      <c r="AI14" s="57">
        <v>10</v>
      </c>
      <c r="AJ14" s="57">
        <v>371</v>
      </c>
      <c r="AK14" s="79">
        <f t="shared" si="10"/>
        <v>3.5124692658939235E-3</v>
      </c>
      <c r="AL14" s="79">
        <f t="shared" si="11"/>
        <v>5.205556335063842E-2</v>
      </c>
      <c r="AM14" s="60">
        <f t="shared" si="12"/>
        <v>381</v>
      </c>
      <c r="AN14" s="79">
        <f t="shared" si="13"/>
        <v>3.819931822739122E-2</v>
      </c>
      <c r="AO14" s="55">
        <v>0</v>
      </c>
      <c r="AP14" s="55">
        <v>595</v>
      </c>
      <c r="AQ14" s="162">
        <f t="shared" si="14"/>
        <v>0</v>
      </c>
      <c r="AR14" s="162">
        <f t="shared" si="15"/>
        <v>0.11022600963319748</v>
      </c>
      <c r="AS14" s="55">
        <v>0</v>
      </c>
      <c r="AT14" s="55">
        <v>1481</v>
      </c>
      <c r="AU14" s="162">
        <f t="shared" si="16"/>
        <v>0</v>
      </c>
      <c r="AV14" s="162">
        <f t="shared" si="17"/>
        <v>0.14884422110552764</v>
      </c>
      <c r="AW14" s="210">
        <v>108</v>
      </c>
      <c r="AX14" s="210">
        <v>1873</v>
      </c>
      <c r="AY14" s="162">
        <f t="shared" si="18"/>
        <v>0.16666666666666666</v>
      </c>
      <c r="AZ14" s="162">
        <f t="shared" si="19"/>
        <v>0.13933938402023507</v>
      </c>
      <c r="BA14" s="210">
        <v>208</v>
      </c>
      <c r="BB14" s="210">
        <v>1419</v>
      </c>
      <c r="BC14" s="162">
        <f t="shared" si="20"/>
        <v>0.25679012345679014</v>
      </c>
      <c r="BD14" s="162">
        <f t="shared" si="21"/>
        <v>0.13448962183679272</v>
      </c>
      <c r="BE14" s="60">
        <v>11</v>
      </c>
      <c r="BF14" s="60">
        <v>1817</v>
      </c>
      <c r="BG14" s="162">
        <f t="shared" si="0"/>
        <v>1.6897081413210446E-2</v>
      </c>
      <c r="BH14" s="162">
        <f t="shared" si="1"/>
        <v>0.21553973902728352</v>
      </c>
      <c r="BI14" s="60">
        <v>550</v>
      </c>
      <c r="BJ14" s="60">
        <v>1870</v>
      </c>
      <c r="BK14" s="60">
        <v>2016</v>
      </c>
      <c r="BL14" s="162">
        <f t="shared" si="22"/>
        <v>9.7708296322615032E-2</v>
      </c>
      <c r="BM14" s="162">
        <f t="shared" si="23"/>
        <v>7.6828266228430572E-2</v>
      </c>
      <c r="BN14" s="277">
        <v>917</v>
      </c>
      <c r="BO14" s="277">
        <v>1426</v>
      </c>
      <c r="BP14" s="255">
        <v>2343</v>
      </c>
      <c r="BQ14" s="162">
        <f t="shared" si="24"/>
        <v>0.14314704964096159</v>
      </c>
      <c r="BR14" s="162">
        <f t="shared" si="25"/>
        <v>0.23735019973368843</v>
      </c>
      <c r="BS14" s="246">
        <v>11</v>
      </c>
      <c r="BT14" s="81" t="s">
        <v>3</v>
      </c>
      <c r="BU14" s="60">
        <f t="shared" si="26"/>
        <v>2343</v>
      </c>
      <c r="BV14" s="316">
        <f t="shared" si="27"/>
        <v>0.18873852102464958</v>
      </c>
      <c r="BW14" s="60">
        <v>131</v>
      </c>
      <c r="BX14" s="60">
        <v>3</v>
      </c>
      <c r="BY14" s="60">
        <v>80</v>
      </c>
      <c r="BZ14" s="162"/>
      <c r="CA14" s="162"/>
      <c r="CB14" s="246">
        <v>11</v>
      </c>
      <c r="CC14" s="81" t="s">
        <v>3</v>
      </c>
      <c r="CD14" s="60">
        <f t="shared" si="28"/>
        <v>134</v>
      </c>
      <c r="CE14" s="58">
        <f t="shared" si="29"/>
        <v>1.0794264540035443E-2</v>
      </c>
      <c r="CF14" s="60">
        <v>131</v>
      </c>
      <c r="CG14" s="60">
        <v>3</v>
      </c>
      <c r="CH14" s="60">
        <f t="shared" si="32"/>
        <v>134</v>
      </c>
      <c r="CI14" s="60">
        <v>80</v>
      </c>
      <c r="CJ14" s="60">
        <v>917</v>
      </c>
      <c r="CK14" s="60">
        <v>917</v>
      </c>
      <c r="CL14" s="60">
        <v>7</v>
      </c>
      <c r="CM14" s="311">
        <f t="shared" si="30"/>
        <v>2138</v>
      </c>
      <c r="CN14" s="60">
        <v>0</v>
      </c>
      <c r="CO14" s="60">
        <v>2138</v>
      </c>
      <c r="CP14" s="312">
        <v>213</v>
      </c>
      <c r="CQ14" s="334">
        <f t="shared" si="31"/>
        <v>0.15081146962601835</v>
      </c>
      <c r="CR14" s="82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D14" s="2"/>
      <c r="DE14" s="7"/>
      <c r="DF14" s="3"/>
      <c r="DG14" s="2"/>
      <c r="DH14" s="3"/>
      <c r="DI14" s="2"/>
      <c r="DJ14" s="84"/>
      <c r="DK14" s="2"/>
      <c r="DL14" s="84"/>
      <c r="DM14" s="85"/>
      <c r="DN14" s="86"/>
      <c r="DO14" s="85"/>
      <c r="DP14" s="87"/>
      <c r="DQ14" s="2"/>
    </row>
    <row r="15" spans="1:121" ht="14.65">
      <c r="B15" s="76" t="s">
        <v>17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1</v>
      </c>
      <c r="J15" s="77">
        <v>107</v>
      </c>
      <c r="K15" s="77">
        <v>0</v>
      </c>
      <c r="L15" s="77">
        <v>0</v>
      </c>
      <c r="M15" s="77">
        <v>0</v>
      </c>
      <c r="N15" s="77">
        <v>49</v>
      </c>
      <c r="O15" s="77">
        <v>0</v>
      </c>
      <c r="P15" s="77">
        <v>22</v>
      </c>
      <c r="Q15" s="77">
        <v>0</v>
      </c>
      <c r="R15" s="77">
        <v>1</v>
      </c>
      <c r="S15" s="77">
        <v>9</v>
      </c>
      <c r="T15" s="77">
        <v>0</v>
      </c>
      <c r="U15" s="78">
        <v>0.1890359168241966</v>
      </c>
      <c r="V15" s="78">
        <v>0</v>
      </c>
      <c r="W15" s="77">
        <v>0</v>
      </c>
      <c r="X15" s="77">
        <v>2</v>
      </c>
      <c r="Y15" s="79">
        <f t="shared" si="2"/>
        <v>0</v>
      </c>
      <c r="Z15" s="79">
        <f t="shared" si="3"/>
        <v>2.4467824810374357E-4</v>
      </c>
      <c r="AA15" s="238">
        <f t="shared" si="4"/>
        <v>2</v>
      </c>
      <c r="AB15" s="58">
        <f t="shared" si="5"/>
        <v>2.218524681087077E-4</v>
      </c>
      <c r="AC15" s="60">
        <v>0</v>
      </c>
      <c r="AD15" s="60">
        <v>16</v>
      </c>
      <c r="AE15" s="79">
        <f t="shared" si="6"/>
        <v>0</v>
      </c>
      <c r="AF15" s="79">
        <f t="shared" si="7"/>
        <v>1.8544274455261937E-3</v>
      </c>
      <c r="AG15" s="60">
        <f t="shared" si="8"/>
        <v>16</v>
      </c>
      <c r="AH15" s="79">
        <f t="shared" si="9"/>
        <v>1.0693757519048255E-3</v>
      </c>
      <c r="AI15" s="57">
        <v>0</v>
      </c>
      <c r="AJ15" s="57">
        <v>20</v>
      </c>
      <c r="AK15" s="79">
        <f t="shared" si="10"/>
        <v>0</v>
      </c>
      <c r="AL15" s="79">
        <f t="shared" si="11"/>
        <v>2.8062298302230951E-3</v>
      </c>
      <c r="AM15" s="60">
        <f t="shared" si="12"/>
        <v>20</v>
      </c>
      <c r="AN15" s="79">
        <f t="shared" si="13"/>
        <v>2.0052135552436332E-3</v>
      </c>
      <c r="AO15" s="55">
        <v>0</v>
      </c>
      <c r="AP15" s="55">
        <v>0</v>
      </c>
      <c r="AQ15" s="162">
        <f t="shared" si="14"/>
        <v>0</v>
      </c>
      <c r="AR15" s="162">
        <f t="shared" si="15"/>
        <v>0</v>
      </c>
      <c r="AS15" s="55">
        <v>0</v>
      </c>
      <c r="AT15" s="55">
        <v>39</v>
      </c>
      <c r="AU15" s="162">
        <f t="shared" si="16"/>
        <v>0</v>
      </c>
      <c r="AV15" s="162">
        <f t="shared" si="17"/>
        <v>3.9195979899497484E-3</v>
      </c>
      <c r="AW15" s="210">
        <v>0</v>
      </c>
      <c r="AX15" s="210">
        <v>0</v>
      </c>
      <c r="AY15" s="162">
        <f t="shared" si="18"/>
        <v>0</v>
      </c>
      <c r="AZ15" s="162">
        <f t="shared" si="19"/>
        <v>0</v>
      </c>
      <c r="BA15" s="210">
        <v>0</v>
      </c>
      <c r="BB15" s="210">
        <v>26</v>
      </c>
      <c r="BC15" s="162">
        <f t="shared" si="20"/>
        <v>0</v>
      </c>
      <c r="BD15" s="162">
        <f t="shared" si="21"/>
        <v>2.4642214008150885E-3</v>
      </c>
      <c r="BE15" s="60">
        <v>0</v>
      </c>
      <c r="BF15" s="60">
        <v>3</v>
      </c>
      <c r="BG15" s="162">
        <f t="shared" si="0"/>
        <v>0</v>
      </c>
      <c r="BH15" s="162">
        <f t="shared" si="1"/>
        <v>3.5587188612099647E-4</v>
      </c>
      <c r="BI15" s="60">
        <v>0</v>
      </c>
      <c r="BJ15" s="60">
        <v>1310</v>
      </c>
      <c r="BK15" s="60">
        <v>748</v>
      </c>
      <c r="BL15" s="162">
        <f t="shared" si="22"/>
        <v>0</v>
      </c>
      <c r="BM15" s="162">
        <f t="shared" si="23"/>
        <v>5.3820870994248149E-2</v>
      </c>
      <c r="BN15" s="277">
        <v>0</v>
      </c>
      <c r="BO15" s="277">
        <v>66</v>
      </c>
      <c r="BP15" s="255">
        <v>66</v>
      </c>
      <c r="BQ15" s="162">
        <f t="shared" si="24"/>
        <v>0</v>
      </c>
      <c r="BR15" s="162">
        <f t="shared" si="25"/>
        <v>1.0985352862849533E-2</v>
      </c>
      <c r="BS15" s="246">
        <v>12</v>
      </c>
      <c r="BT15" s="81" t="s">
        <v>17</v>
      </c>
      <c r="BU15" s="60">
        <f t="shared" si="26"/>
        <v>66</v>
      </c>
      <c r="BV15" s="58">
        <f t="shared" si="27"/>
        <v>5.3165780570323829E-3</v>
      </c>
      <c r="BW15" s="60"/>
      <c r="BX15" s="60">
        <v>140</v>
      </c>
      <c r="BY15" s="60">
        <v>62</v>
      </c>
      <c r="BZ15" s="162"/>
      <c r="CA15" s="162"/>
      <c r="CB15" s="246">
        <v>12</v>
      </c>
      <c r="CC15" s="81" t="s">
        <v>17</v>
      </c>
      <c r="CD15" s="60">
        <f t="shared" si="28"/>
        <v>140</v>
      </c>
      <c r="CE15" s="58">
        <f t="shared" si="29"/>
        <v>1.1277589817947478E-2</v>
      </c>
      <c r="CF15" s="60"/>
      <c r="CG15" s="60">
        <v>140</v>
      </c>
      <c r="CH15" s="60">
        <f t="shared" si="32"/>
        <v>140</v>
      </c>
      <c r="CI15" s="60">
        <v>62</v>
      </c>
      <c r="CJ15" s="60">
        <v>0</v>
      </c>
      <c r="CK15" s="60">
        <v>0</v>
      </c>
      <c r="CL15" s="60">
        <v>0</v>
      </c>
      <c r="CM15" s="311">
        <f t="shared" si="30"/>
        <v>132</v>
      </c>
      <c r="CN15" s="60">
        <v>0</v>
      </c>
      <c r="CO15" s="60">
        <v>132</v>
      </c>
      <c r="CP15" s="312">
        <v>61</v>
      </c>
      <c r="CQ15" s="333">
        <f t="shared" si="31"/>
        <v>1.2380524728975559E-2</v>
      </c>
      <c r="CR15" s="82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D15" s="2"/>
      <c r="DE15" s="7"/>
      <c r="DF15" s="3"/>
      <c r="DG15" s="2"/>
      <c r="DH15" s="3"/>
      <c r="DI15" s="2"/>
      <c r="DJ15" s="84"/>
      <c r="DK15" s="2"/>
      <c r="DL15" s="84"/>
      <c r="DM15" s="85"/>
      <c r="DN15" s="86"/>
      <c r="DO15" s="85"/>
      <c r="DP15" s="87"/>
      <c r="DQ15" s="2"/>
    </row>
    <row r="16" spans="1:121" ht="14.65">
      <c r="B16" s="76" t="s">
        <v>18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34</v>
      </c>
      <c r="K16" s="77">
        <v>0</v>
      </c>
      <c r="L16" s="77">
        <v>36</v>
      </c>
      <c r="M16" s="77">
        <v>0</v>
      </c>
      <c r="N16" s="77">
        <v>40</v>
      </c>
      <c r="O16" s="77">
        <v>0</v>
      </c>
      <c r="P16" s="77">
        <v>55</v>
      </c>
      <c r="Q16" s="77">
        <v>1</v>
      </c>
      <c r="R16" s="77">
        <v>7</v>
      </c>
      <c r="S16" s="77">
        <v>0</v>
      </c>
      <c r="T16" s="77">
        <v>63</v>
      </c>
      <c r="U16" s="78">
        <v>0</v>
      </c>
      <c r="V16" s="78">
        <v>0.58933582787652006</v>
      </c>
      <c r="W16" s="77">
        <v>0</v>
      </c>
      <c r="X16" s="77">
        <v>80</v>
      </c>
      <c r="Y16" s="79">
        <f t="shared" si="2"/>
        <v>0</v>
      </c>
      <c r="Z16" s="79">
        <f t="shared" si="3"/>
        <v>9.7871299241497432E-3</v>
      </c>
      <c r="AA16" s="238">
        <f t="shared" si="4"/>
        <v>80</v>
      </c>
      <c r="AB16" s="58">
        <f t="shared" si="5"/>
        <v>8.8740987243483092E-3</v>
      </c>
      <c r="AC16" s="60">
        <v>0</v>
      </c>
      <c r="AD16" s="60">
        <v>6</v>
      </c>
      <c r="AE16" s="79">
        <f t="shared" si="6"/>
        <v>0</v>
      </c>
      <c r="AF16" s="79">
        <f t="shared" si="7"/>
        <v>6.9541029207232264E-4</v>
      </c>
      <c r="AG16" s="60">
        <f t="shared" si="8"/>
        <v>6</v>
      </c>
      <c r="AH16" s="79">
        <f t="shared" si="9"/>
        <v>4.010159069643096E-4</v>
      </c>
      <c r="AI16" s="57">
        <v>0</v>
      </c>
      <c r="AJ16" s="57">
        <v>345</v>
      </c>
      <c r="AK16" s="79">
        <f t="shared" si="10"/>
        <v>0</v>
      </c>
      <c r="AL16" s="79">
        <f t="shared" si="11"/>
        <v>4.8407464571348396E-2</v>
      </c>
      <c r="AM16" s="60">
        <f t="shared" si="12"/>
        <v>345</v>
      </c>
      <c r="AN16" s="79">
        <f t="shared" si="13"/>
        <v>3.4589933827952675E-2</v>
      </c>
      <c r="AO16" s="55">
        <v>0</v>
      </c>
      <c r="AP16" s="55">
        <v>81</v>
      </c>
      <c r="AQ16" s="162">
        <f t="shared" si="14"/>
        <v>0</v>
      </c>
      <c r="AR16" s="162">
        <f t="shared" si="15"/>
        <v>1.5005557613931086E-2</v>
      </c>
      <c r="AS16" s="55">
        <v>0</v>
      </c>
      <c r="AT16" s="55">
        <v>84</v>
      </c>
      <c r="AU16" s="162">
        <f t="shared" si="16"/>
        <v>0</v>
      </c>
      <c r="AV16" s="162">
        <f t="shared" si="17"/>
        <v>8.4422110552763822E-3</v>
      </c>
      <c r="AW16" s="210">
        <v>0</v>
      </c>
      <c r="AX16" s="210">
        <v>17</v>
      </c>
      <c r="AY16" s="162">
        <f t="shared" si="18"/>
        <v>0</v>
      </c>
      <c r="AZ16" s="162">
        <f t="shared" si="19"/>
        <v>1.2646927540544562E-3</v>
      </c>
      <c r="BA16" s="210">
        <v>0</v>
      </c>
      <c r="BB16" s="210">
        <v>411</v>
      </c>
      <c r="BC16" s="162">
        <f t="shared" si="20"/>
        <v>0</v>
      </c>
      <c r="BD16" s="162">
        <f t="shared" si="21"/>
        <v>3.8953653682115438E-2</v>
      </c>
      <c r="BE16" s="60">
        <v>1</v>
      </c>
      <c r="BF16" s="60">
        <v>2</v>
      </c>
      <c r="BG16" s="162">
        <f t="shared" si="0"/>
        <v>1.5360983102918587E-3</v>
      </c>
      <c r="BH16" s="162">
        <f t="shared" si="1"/>
        <v>2.3724792408066428E-4</v>
      </c>
      <c r="BI16" s="60">
        <v>0</v>
      </c>
      <c r="BJ16" s="60">
        <v>158</v>
      </c>
      <c r="BK16" s="60">
        <v>716</v>
      </c>
      <c r="BL16" s="162">
        <f t="shared" si="22"/>
        <v>0</v>
      </c>
      <c r="BM16" s="162">
        <f t="shared" si="23"/>
        <v>6.4913722267871815E-3</v>
      </c>
      <c r="BN16" s="277">
        <v>109</v>
      </c>
      <c r="BO16" s="277">
        <v>247</v>
      </c>
      <c r="BP16" s="255">
        <v>356</v>
      </c>
      <c r="BQ16" s="162">
        <f t="shared" si="24"/>
        <v>1.7015298157976897E-2</v>
      </c>
      <c r="BR16" s="162">
        <f t="shared" si="25"/>
        <v>4.1111850865512653E-2</v>
      </c>
      <c r="BS16" s="246">
        <v>13</v>
      </c>
      <c r="BT16" s="81" t="s">
        <v>18</v>
      </c>
      <c r="BU16" s="60">
        <f t="shared" si="26"/>
        <v>356</v>
      </c>
      <c r="BV16" s="58">
        <f t="shared" si="27"/>
        <v>2.8677299822780732E-2</v>
      </c>
      <c r="BW16" s="60"/>
      <c r="BX16" s="60">
        <v>36</v>
      </c>
      <c r="BY16" s="60">
        <v>111</v>
      </c>
      <c r="BZ16" s="162"/>
      <c r="CA16" s="162"/>
      <c r="CB16" s="246">
        <v>13</v>
      </c>
      <c r="CC16" s="81" t="s">
        <v>18</v>
      </c>
      <c r="CD16" s="60">
        <f t="shared" si="28"/>
        <v>36</v>
      </c>
      <c r="CE16" s="58">
        <f t="shared" si="29"/>
        <v>2.8999516674722086E-3</v>
      </c>
      <c r="CF16" s="60"/>
      <c r="CG16" s="60">
        <v>36</v>
      </c>
      <c r="CH16" s="60">
        <f t="shared" si="32"/>
        <v>36</v>
      </c>
      <c r="CI16" s="60">
        <v>111</v>
      </c>
      <c r="CJ16" s="60">
        <v>109</v>
      </c>
      <c r="CK16" s="60">
        <v>109</v>
      </c>
      <c r="CL16" s="60">
        <v>0</v>
      </c>
      <c r="CM16" s="311">
        <f t="shared" si="30"/>
        <v>247</v>
      </c>
      <c r="CN16" s="60">
        <v>0</v>
      </c>
      <c r="CO16" s="60">
        <v>247</v>
      </c>
      <c r="CP16" s="312">
        <v>0</v>
      </c>
      <c r="CQ16" s="333">
        <f t="shared" si="31"/>
        <v>1.5844505741227789E-2</v>
      </c>
      <c r="CR16" s="82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D16" s="2"/>
      <c r="DE16" s="7"/>
      <c r="DF16" s="3"/>
      <c r="DG16" s="2"/>
      <c r="DH16" s="3"/>
      <c r="DI16" s="2"/>
      <c r="DJ16" s="84"/>
      <c r="DK16" s="2"/>
      <c r="DL16" s="84"/>
      <c r="DM16" s="85"/>
      <c r="DN16" s="86"/>
      <c r="DO16" s="85"/>
      <c r="DP16" s="87"/>
      <c r="DQ16" s="2"/>
    </row>
    <row r="17" spans="2:121" ht="14.65">
      <c r="B17" s="76" t="s">
        <v>19</v>
      </c>
      <c r="C17" s="77">
        <v>0</v>
      </c>
      <c r="D17" s="77">
        <v>30</v>
      </c>
      <c r="E17" s="77">
        <v>0</v>
      </c>
      <c r="F17" s="77">
        <v>0</v>
      </c>
      <c r="G17" s="77">
        <v>0</v>
      </c>
      <c r="H17" s="77">
        <v>0</v>
      </c>
      <c r="I17" s="77">
        <v>1</v>
      </c>
      <c r="J17" s="77">
        <v>17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36</v>
      </c>
      <c r="S17" s="77">
        <v>0</v>
      </c>
      <c r="T17" s="77">
        <v>0</v>
      </c>
      <c r="U17" s="78">
        <v>0</v>
      </c>
      <c r="V17" s="78">
        <v>0</v>
      </c>
      <c r="W17" s="77">
        <v>0</v>
      </c>
      <c r="X17" s="77">
        <v>0</v>
      </c>
      <c r="Y17" s="79">
        <f t="shared" si="2"/>
        <v>0</v>
      </c>
      <c r="Z17" s="79">
        <f t="shared" si="3"/>
        <v>0</v>
      </c>
      <c r="AA17" s="238">
        <f t="shared" si="4"/>
        <v>0</v>
      </c>
      <c r="AB17" s="58">
        <f t="shared" si="5"/>
        <v>0</v>
      </c>
      <c r="AC17" s="60">
        <v>0</v>
      </c>
      <c r="AD17" s="60">
        <v>0</v>
      </c>
      <c r="AE17" s="79">
        <f t="shared" si="6"/>
        <v>0</v>
      </c>
      <c r="AF17" s="79">
        <f t="shared" si="7"/>
        <v>0</v>
      </c>
      <c r="AG17" s="60">
        <f t="shared" si="8"/>
        <v>0</v>
      </c>
      <c r="AH17" s="79">
        <f t="shared" si="9"/>
        <v>0</v>
      </c>
      <c r="AI17" s="57">
        <v>0</v>
      </c>
      <c r="AJ17" s="57">
        <v>2</v>
      </c>
      <c r="AK17" s="79">
        <f t="shared" si="10"/>
        <v>0</v>
      </c>
      <c r="AL17" s="79">
        <f t="shared" si="11"/>
        <v>2.8062298302230951E-4</v>
      </c>
      <c r="AM17" s="60">
        <f t="shared" si="12"/>
        <v>2</v>
      </c>
      <c r="AN17" s="79">
        <f t="shared" si="13"/>
        <v>2.0052135552436334E-4</v>
      </c>
      <c r="AO17" s="55">
        <v>0</v>
      </c>
      <c r="AP17" s="55">
        <v>16</v>
      </c>
      <c r="AQ17" s="162">
        <f t="shared" si="14"/>
        <v>0</v>
      </c>
      <c r="AR17" s="162">
        <f t="shared" si="15"/>
        <v>2.9640607632456465E-3</v>
      </c>
      <c r="AS17" s="55">
        <v>0</v>
      </c>
      <c r="AT17" s="55">
        <v>0</v>
      </c>
      <c r="AU17" s="162">
        <f t="shared" si="16"/>
        <v>0</v>
      </c>
      <c r="AV17" s="162">
        <f t="shared" si="17"/>
        <v>0</v>
      </c>
      <c r="AW17" s="210">
        <v>0</v>
      </c>
      <c r="AX17" s="210">
        <v>1170</v>
      </c>
      <c r="AY17" s="162">
        <f t="shared" si="18"/>
        <v>0</v>
      </c>
      <c r="AZ17" s="162">
        <f t="shared" si="19"/>
        <v>8.7040618955512572E-2</v>
      </c>
      <c r="BA17" s="210">
        <v>0</v>
      </c>
      <c r="BB17" s="210">
        <v>0</v>
      </c>
      <c r="BC17" s="162">
        <f t="shared" si="20"/>
        <v>0</v>
      </c>
      <c r="BD17" s="162">
        <f t="shared" si="21"/>
        <v>0</v>
      </c>
      <c r="BE17" s="60">
        <v>0</v>
      </c>
      <c r="BF17" s="60">
        <v>12</v>
      </c>
      <c r="BG17" s="162">
        <f t="shared" si="0"/>
        <v>0</v>
      </c>
      <c r="BH17" s="162">
        <f t="shared" si="1"/>
        <v>1.4234875444839859E-3</v>
      </c>
      <c r="BI17" s="60">
        <v>0</v>
      </c>
      <c r="BJ17" s="60">
        <v>711</v>
      </c>
      <c r="BK17" s="60">
        <v>326</v>
      </c>
      <c r="BL17" s="162">
        <f t="shared" si="22"/>
        <v>0</v>
      </c>
      <c r="BM17" s="162">
        <f t="shared" si="23"/>
        <v>2.9211175020542317E-2</v>
      </c>
      <c r="BN17" s="277">
        <v>0</v>
      </c>
      <c r="BO17" s="277">
        <v>198</v>
      </c>
      <c r="BP17" s="255">
        <v>198</v>
      </c>
      <c r="BQ17" s="162">
        <f t="shared" si="24"/>
        <v>0</v>
      </c>
      <c r="BR17" s="162">
        <f t="shared" si="25"/>
        <v>3.2956058588548602E-2</v>
      </c>
      <c r="BS17" s="246">
        <v>14</v>
      </c>
      <c r="BT17" s="81" t="s">
        <v>19</v>
      </c>
      <c r="BU17" s="60">
        <f t="shared" si="26"/>
        <v>198</v>
      </c>
      <c r="BV17" s="58">
        <f t="shared" si="27"/>
        <v>1.5949734171097147E-2</v>
      </c>
      <c r="BW17" s="60"/>
      <c r="BX17" s="60"/>
      <c r="BY17" s="60">
        <v>9</v>
      </c>
      <c r="BZ17" s="162"/>
      <c r="CA17" s="162"/>
      <c r="CB17" s="246">
        <v>14</v>
      </c>
      <c r="CC17" s="81" t="s">
        <v>19</v>
      </c>
      <c r="CD17" s="60">
        <f t="shared" si="28"/>
        <v>0</v>
      </c>
      <c r="CE17" s="58">
        <f t="shared" si="29"/>
        <v>0</v>
      </c>
      <c r="CF17" s="60"/>
      <c r="CG17" s="60"/>
      <c r="CH17" s="60">
        <f t="shared" si="32"/>
        <v>0</v>
      </c>
      <c r="CI17" s="60">
        <v>9</v>
      </c>
      <c r="CJ17" s="60">
        <v>0</v>
      </c>
      <c r="CK17" s="60" t="s">
        <v>121</v>
      </c>
      <c r="CL17" s="60" t="s">
        <v>121</v>
      </c>
      <c r="CM17" s="311">
        <f t="shared" si="30"/>
        <v>198</v>
      </c>
      <c r="CN17" s="60">
        <v>0</v>
      </c>
      <c r="CO17" s="60">
        <v>198</v>
      </c>
      <c r="CP17" s="312">
        <v>0</v>
      </c>
      <c r="CQ17" s="333">
        <f t="shared" si="31"/>
        <v>1.2701263711591507E-2</v>
      </c>
      <c r="CR17" s="82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D17" s="2"/>
      <c r="DE17" s="7"/>
      <c r="DF17" s="3"/>
      <c r="DG17" s="2"/>
      <c r="DH17" s="3"/>
      <c r="DI17" s="2"/>
      <c r="DJ17" s="84"/>
      <c r="DK17" s="2"/>
      <c r="DL17" s="84"/>
      <c r="DM17" s="85"/>
      <c r="DN17" s="86"/>
      <c r="DO17" s="85"/>
      <c r="DP17" s="87"/>
      <c r="DQ17" s="2"/>
    </row>
    <row r="18" spans="2:121" ht="14.65">
      <c r="B18" s="76" t="s">
        <v>20</v>
      </c>
      <c r="C18" s="77">
        <v>0</v>
      </c>
      <c r="D18" s="77">
        <v>0</v>
      </c>
      <c r="E18" s="77">
        <v>0</v>
      </c>
      <c r="F18" s="77">
        <v>16</v>
      </c>
      <c r="G18" s="77">
        <v>0</v>
      </c>
      <c r="H18" s="77">
        <v>0</v>
      </c>
      <c r="I18" s="77">
        <v>2</v>
      </c>
      <c r="J18" s="77">
        <v>163</v>
      </c>
      <c r="K18" s="77">
        <v>0</v>
      </c>
      <c r="L18" s="77">
        <v>0</v>
      </c>
      <c r="M18" s="77">
        <v>0</v>
      </c>
      <c r="N18" s="77">
        <v>15</v>
      </c>
      <c r="O18" s="77">
        <v>0</v>
      </c>
      <c r="P18" s="77">
        <v>0</v>
      </c>
      <c r="Q18" s="77">
        <v>0</v>
      </c>
      <c r="R18" s="77">
        <v>30</v>
      </c>
      <c r="S18" s="77">
        <v>0</v>
      </c>
      <c r="T18" s="77">
        <v>0</v>
      </c>
      <c r="U18" s="78">
        <v>0</v>
      </c>
      <c r="V18" s="78">
        <v>0</v>
      </c>
      <c r="W18" s="77">
        <v>0</v>
      </c>
      <c r="X18" s="77">
        <f>14+9</f>
        <v>23</v>
      </c>
      <c r="Y18" s="79">
        <f t="shared" si="2"/>
        <v>0</v>
      </c>
      <c r="Z18" s="79">
        <f t="shared" si="3"/>
        <v>2.813799853193051E-3</v>
      </c>
      <c r="AA18" s="238">
        <f t="shared" si="4"/>
        <v>23</v>
      </c>
      <c r="AB18" s="58">
        <f t="shared" si="5"/>
        <v>2.5513033832501386E-3</v>
      </c>
      <c r="AC18" s="60">
        <v>0</v>
      </c>
      <c r="AD18" s="60">
        <v>0</v>
      </c>
      <c r="AE18" s="79">
        <f t="shared" si="6"/>
        <v>0</v>
      </c>
      <c r="AF18" s="79">
        <f t="shared" si="7"/>
        <v>0</v>
      </c>
      <c r="AG18" s="60">
        <f t="shared" si="8"/>
        <v>0</v>
      </c>
      <c r="AH18" s="79">
        <f t="shared" si="9"/>
        <v>0</v>
      </c>
      <c r="AI18" s="57">
        <v>0</v>
      </c>
      <c r="AJ18" s="57">
        <v>24</v>
      </c>
      <c r="AK18" s="79">
        <f t="shared" si="10"/>
        <v>0</v>
      </c>
      <c r="AL18" s="79">
        <f t="shared" si="11"/>
        <v>3.3674757962677145E-3</v>
      </c>
      <c r="AM18" s="60">
        <f t="shared" si="12"/>
        <v>24</v>
      </c>
      <c r="AN18" s="79">
        <f t="shared" si="13"/>
        <v>2.40625626629236E-3</v>
      </c>
      <c r="AO18" s="55">
        <v>0</v>
      </c>
      <c r="AP18" s="55">
        <v>0</v>
      </c>
      <c r="AQ18" s="162">
        <f t="shared" si="14"/>
        <v>0</v>
      </c>
      <c r="AR18" s="162">
        <f t="shared" si="15"/>
        <v>0</v>
      </c>
      <c r="AS18" s="57">
        <v>0</v>
      </c>
      <c r="AT18" s="57">
        <v>420</v>
      </c>
      <c r="AU18" s="162">
        <f t="shared" si="16"/>
        <v>0</v>
      </c>
      <c r="AV18" s="162">
        <f t="shared" si="17"/>
        <v>4.2211055276381908E-2</v>
      </c>
      <c r="AW18" s="210">
        <v>0</v>
      </c>
      <c r="AX18" s="210">
        <v>0</v>
      </c>
      <c r="AY18" s="162">
        <f t="shared" si="18"/>
        <v>0</v>
      </c>
      <c r="AZ18" s="162">
        <f t="shared" si="19"/>
        <v>0</v>
      </c>
      <c r="BA18" s="210">
        <v>0</v>
      </c>
      <c r="BB18" s="210">
        <v>0</v>
      </c>
      <c r="BC18" s="162">
        <f t="shared" si="20"/>
        <v>0</v>
      </c>
      <c r="BD18" s="162">
        <f t="shared" si="21"/>
        <v>0</v>
      </c>
      <c r="BE18" s="60">
        <v>0</v>
      </c>
      <c r="BF18" s="60">
        <v>17</v>
      </c>
      <c r="BG18" s="162">
        <f t="shared" si="0"/>
        <v>0</v>
      </c>
      <c r="BH18" s="162">
        <f t="shared" si="1"/>
        <v>2.0166073546856464E-3</v>
      </c>
      <c r="BI18" s="60">
        <v>0</v>
      </c>
      <c r="BJ18" s="60">
        <v>77</v>
      </c>
      <c r="BK18" s="60">
        <v>69</v>
      </c>
      <c r="BL18" s="162">
        <f t="shared" si="22"/>
        <v>0</v>
      </c>
      <c r="BM18" s="162">
        <f t="shared" si="23"/>
        <v>3.1635168447000823E-3</v>
      </c>
      <c r="BN18" s="277">
        <v>0</v>
      </c>
      <c r="BO18" s="277">
        <v>336</v>
      </c>
      <c r="BP18" s="255">
        <v>336</v>
      </c>
      <c r="BQ18" s="162">
        <f t="shared" si="24"/>
        <v>0</v>
      </c>
      <c r="BR18" s="162">
        <f t="shared" si="25"/>
        <v>5.5925432756324903E-2</v>
      </c>
      <c r="BS18" s="246">
        <v>15</v>
      </c>
      <c r="BT18" s="81" t="s">
        <v>20</v>
      </c>
      <c r="BU18" s="60">
        <f t="shared" si="26"/>
        <v>336</v>
      </c>
      <c r="BV18" s="58">
        <f t="shared" si="27"/>
        <v>2.706621556307395E-2</v>
      </c>
      <c r="BW18" s="60"/>
      <c r="BX18" s="60"/>
      <c r="BY18" s="60">
        <v>16</v>
      </c>
      <c r="BZ18" s="162"/>
      <c r="CA18" s="162"/>
      <c r="CB18" s="246">
        <v>15</v>
      </c>
      <c r="CC18" s="81" t="s">
        <v>20</v>
      </c>
      <c r="CD18" s="60">
        <f t="shared" si="28"/>
        <v>0</v>
      </c>
      <c r="CE18" s="58">
        <f t="shared" si="29"/>
        <v>0</v>
      </c>
      <c r="CF18" s="60"/>
      <c r="CG18" s="60"/>
      <c r="CH18" s="60">
        <f t="shared" si="32"/>
        <v>0</v>
      </c>
      <c r="CI18" s="60">
        <v>16</v>
      </c>
      <c r="CJ18" s="60">
        <v>0</v>
      </c>
      <c r="CK18" s="60" t="s">
        <v>121</v>
      </c>
      <c r="CL18" s="60" t="s">
        <v>121</v>
      </c>
      <c r="CM18" s="311">
        <f t="shared" si="30"/>
        <v>336</v>
      </c>
      <c r="CN18" s="60">
        <v>0</v>
      </c>
      <c r="CO18" s="60">
        <v>336</v>
      </c>
      <c r="CP18" s="312">
        <v>6</v>
      </c>
      <c r="CQ18" s="333">
        <f t="shared" si="31"/>
        <v>2.1938546410930786E-2</v>
      </c>
      <c r="CR18" s="82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D18" s="2"/>
      <c r="DE18" s="7"/>
      <c r="DF18" s="3"/>
      <c r="DG18" s="2"/>
      <c r="DH18" s="3"/>
      <c r="DI18" s="2"/>
      <c r="DJ18" s="84"/>
      <c r="DK18" s="2"/>
      <c r="DL18" s="84"/>
      <c r="DM18" s="85"/>
      <c r="DN18" s="86"/>
      <c r="DO18" s="85"/>
      <c r="DP18" s="87"/>
      <c r="DQ18" s="2"/>
    </row>
    <row r="19" spans="2:121" ht="14.65">
      <c r="B19" s="76" t="s">
        <v>21</v>
      </c>
      <c r="C19" s="77">
        <v>0</v>
      </c>
      <c r="D19" s="77">
        <v>0</v>
      </c>
      <c r="E19" s="77">
        <v>0</v>
      </c>
      <c r="F19" s="77">
        <v>69</v>
      </c>
      <c r="G19" s="77">
        <v>0</v>
      </c>
      <c r="H19" s="77">
        <v>91</v>
      </c>
      <c r="I19" s="77">
        <v>6</v>
      </c>
      <c r="J19" s="77">
        <v>112</v>
      </c>
      <c r="K19" s="77">
        <v>0</v>
      </c>
      <c r="L19" s="77">
        <v>0</v>
      </c>
      <c r="M19" s="77">
        <v>0</v>
      </c>
      <c r="N19" s="77">
        <v>98</v>
      </c>
      <c r="O19" s="77">
        <v>0</v>
      </c>
      <c r="P19" s="77">
        <v>7</v>
      </c>
      <c r="Q19" s="77">
        <v>458</v>
      </c>
      <c r="R19" s="77">
        <v>0</v>
      </c>
      <c r="S19" s="77">
        <v>0</v>
      </c>
      <c r="T19" s="77">
        <v>4</v>
      </c>
      <c r="U19" s="78">
        <v>0</v>
      </c>
      <c r="V19" s="78">
        <v>3.7418147801683815E-2</v>
      </c>
      <c r="W19" s="77">
        <v>1</v>
      </c>
      <c r="X19" s="77">
        <f>28+4</f>
        <v>32</v>
      </c>
      <c r="Y19" s="79">
        <f t="shared" si="2"/>
        <v>1.1890606420927466E-3</v>
      </c>
      <c r="Z19" s="79">
        <f t="shared" si="3"/>
        <v>3.9148519696598971E-3</v>
      </c>
      <c r="AA19" s="238">
        <f t="shared" si="4"/>
        <v>33</v>
      </c>
      <c r="AB19" s="58">
        <f t="shared" si="5"/>
        <v>3.6605657237936771E-3</v>
      </c>
      <c r="AC19" s="60">
        <v>0</v>
      </c>
      <c r="AD19" s="60">
        <v>97</v>
      </c>
      <c r="AE19" s="79">
        <f t="shared" si="6"/>
        <v>0</v>
      </c>
      <c r="AF19" s="79">
        <f t="shared" si="7"/>
        <v>1.1242466388502549E-2</v>
      </c>
      <c r="AG19" s="60">
        <f t="shared" si="8"/>
        <v>97</v>
      </c>
      <c r="AH19" s="79">
        <f t="shared" si="9"/>
        <v>6.4830904959230053E-3</v>
      </c>
      <c r="AI19" s="57">
        <v>0</v>
      </c>
      <c r="AJ19" s="57">
        <v>30</v>
      </c>
      <c r="AK19" s="79">
        <f t="shared" si="10"/>
        <v>0</v>
      </c>
      <c r="AL19" s="79">
        <f t="shared" si="11"/>
        <v>4.2093447453346432E-3</v>
      </c>
      <c r="AM19" s="60">
        <f t="shared" si="12"/>
        <v>30</v>
      </c>
      <c r="AN19" s="79">
        <f t="shared" si="13"/>
        <v>3.0078203328654501E-3</v>
      </c>
      <c r="AO19" s="55">
        <v>4</v>
      </c>
      <c r="AP19" s="55">
        <v>207</v>
      </c>
      <c r="AQ19" s="162">
        <f t="shared" si="14"/>
        <v>2.4585125998770742E-3</v>
      </c>
      <c r="AR19" s="162">
        <f t="shared" si="15"/>
        <v>3.8347536124490551E-2</v>
      </c>
      <c r="AS19" s="55">
        <v>0</v>
      </c>
      <c r="AT19" s="55">
        <v>289</v>
      </c>
      <c r="AU19" s="162">
        <f t="shared" si="16"/>
        <v>0</v>
      </c>
      <c r="AV19" s="162">
        <f t="shared" si="17"/>
        <v>2.9045226130653266E-2</v>
      </c>
      <c r="AW19" s="210">
        <v>0</v>
      </c>
      <c r="AX19" s="210">
        <v>35</v>
      </c>
      <c r="AY19" s="162">
        <f t="shared" si="18"/>
        <v>0</v>
      </c>
      <c r="AZ19" s="162">
        <f t="shared" si="19"/>
        <v>2.6037791995238806E-3</v>
      </c>
      <c r="BA19" s="210">
        <v>0</v>
      </c>
      <c r="BB19" s="210">
        <v>1171</v>
      </c>
      <c r="BC19" s="162">
        <f t="shared" si="20"/>
        <v>0</v>
      </c>
      <c r="BD19" s="162">
        <f t="shared" si="21"/>
        <v>0.11098474078286419</v>
      </c>
      <c r="BE19" s="60">
        <v>0</v>
      </c>
      <c r="BF19" s="60">
        <v>84</v>
      </c>
      <c r="BG19" s="162">
        <f t="shared" si="0"/>
        <v>0</v>
      </c>
      <c r="BH19" s="162">
        <f t="shared" si="1"/>
        <v>9.9644128113879002E-3</v>
      </c>
      <c r="BI19" s="60">
        <v>0</v>
      </c>
      <c r="BJ19" s="60">
        <v>2544</v>
      </c>
      <c r="BK19" s="60">
        <v>746</v>
      </c>
      <c r="BL19" s="162">
        <f t="shared" si="22"/>
        <v>0</v>
      </c>
      <c r="BM19" s="162">
        <f t="shared" si="23"/>
        <v>0.10451930977814297</v>
      </c>
      <c r="BN19" s="277">
        <v>782</v>
      </c>
      <c r="BO19" s="277">
        <v>799</v>
      </c>
      <c r="BP19" s="255">
        <v>1581</v>
      </c>
      <c r="BQ19" s="244">
        <f t="shared" si="24"/>
        <v>0.12207305650952233</v>
      </c>
      <c r="BR19" s="162">
        <f t="shared" si="25"/>
        <v>0.13298934753661784</v>
      </c>
      <c r="BS19" s="246">
        <v>16</v>
      </c>
      <c r="BT19" s="81" t="s">
        <v>21</v>
      </c>
      <c r="BU19" s="60">
        <f t="shared" si="26"/>
        <v>1581</v>
      </c>
      <c r="BV19" s="316">
        <f t="shared" si="27"/>
        <v>0.12735621072982117</v>
      </c>
      <c r="BW19" s="60"/>
      <c r="BX19" s="60">
        <v>3</v>
      </c>
      <c r="BY19" s="60">
        <v>33</v>
      </c>
      <c r="BZ19" s="162"/>
      <c r="CA19" s="162"/>
      <c r="CB19" s="246">
        <v>16</v>
      </c>
      <c r="CC19" s="81" t="s">
        <v>21</v>
      </c>
      <c r="CD19" s="60">
        <f t="shared" si="28"/>
        <v>3</v>
      </c>
      <c r="CE19" s="58">
        <f t="shared" si="29"/>
        <v>2.416626389560174E-4</v>
      </c>
      <c r="CF19" s="60"/>
      <c r="CG19" s="60">
        <v>3</v>
      </c>
      <c r="CH19" s="60">
        <f t="shared" si="32"/>
        <v>3</v>
      </c>
      <c r="CI19" s="60">
        <v>33</v>
      </c>
      <c r="CJ19" s="60">
        <v>0</v>
      </c>
      <c r="CK19" s="60">
        <v>0</v>
      </c>
      <c r="CL19" s="60">
        <v>0</v>
      </c>
      <c r="CM19" s="311">
        <f t="shared" si="30"/>
        <v>1581</v>
      </c>
      <c r="CN19" s="60">
        <v>782</v>
      </c>
      <c r="CO19" s="60">
        <v>799</v>
      </c>
      <c r="CP19" s="312">
        <v>17</v>
      </c>
      <c r="CQ19" s="334">
        <f t="shared" si="31"/>
        <v>0.1025081788440567</v>
      </c>
      <c r="CR19" s="82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D19" s="2"/>
      <c r="DE19" s="7"/>
      <c r="DF19" s="3"/>
      <c r="DG19" s="2"/>
      <c r="DH19" s="3"/>
      <c r="DI19" s="2"/>
      <c r="DJ19" s="84"/>
      <c r="DK19" s="2"/>
      <c r="DL19" s="84"/>
      <c r="DM19" s="85"/>
      <c r="DN19" s="86"/>
      <c r="DO19" s="85"/>
      <c r="DP19" s="87"/>
      <c r="DQ19" s="2"/>
    </row>
    <row r="20" spans="2:121" ht="14.65">
      <c r="B20" s="76" t="s">
        <v>22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2</v>
      </c>
      <c r="J20" s="77">
        <v>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8">
        <v>0</v>
      </c>
      <c r="V20" s="78">
        <v>0</v>
      </c>
      <c r="W20" s="77">
        <v>0</v>
      </c>
      <c r="X20" s="77">
        <v>0</v>
      </c>
      <c r="Y20" s="79">
        <f t="shared" si="2"/>
        <v>0</v>
      </c>
      <c r="Z20" s="79">
        <f t="shared" si="3"/>
        <v>0</v>
      </c>
      <c r="AA20" s="238">
        <f t="shared" si="4"/>
        <v>0</v>
      </c>
      <c r="AB20" s="58">
        <f t="shared" si="5"/>
        <v>0</v>
      </c>
      <c r="AC20" s="60">
        <v>0</v>
      </c>
      <c r="AD20" s="60">
        <f>18+1</f>
        <v>19</v>
      </c>
      <c r="AE20" s="79">
        <f t="shared" si="6"/>
        <v>0</v>
      </c>
      <c r="AF20" s="79">
        <f t="shared" si="7"/>
        <v>2.202132591562355E-3</v>
      </c>
      <c r="AG20" s="60">
        <f t="shared" si="8"/>
        <v>19</v>
      </c>
      <c r="AH20" s="79">
        <f t="shared" si="9"/>
        <v>1.2698837053869802E-3</v>
      </c>
      <c r="AI20" s="57">
        <v>0</v>
      </c>
      <c r="AJ20" s="57">
        <v>0</v>
      </c>
      <c r="AK20" s="79">
        <f t="shared" si="10"/>
        <v>0</v>
      </c>
      <c r="AL20" s="79">
        <f t="shared" si="11"/>
        <v>0</v>
      </c>
      <c r="AM20" s="60">
        <f t="shared" si="12"/>
        <v>0</v>
      </c>
      <c r="AN20" s="79">
        <f t="shared" si="13"/>
        <v>0</v>
      </c>
      <c r="AO20" s="55">
        <v>0</v>
      </c>
      <c r="AP20" s="55">
        <v>0</v>
      </c>
      <c r="AQ20" s="162">
        <f t="shared" si="14"/>
        <v>0</v>
      </c>
      <c r="AR20" s="162">
        <f t="shared" si="15"/>
        <v>0</v>
      </c>
      <c r="AS20" s="55">
        <v>0</v>
      </c>
      <c r="AT20" s="55">
        <v>0</v>
      </c>
      <c r="AU20" s="162">
        <f t="shared" si="16"/>
        <v>0</v>
      </c>
      <c r="AV20" s="162">
        <f t="shared" si="17"/>
        <v>0</v>
      </c>
      <c r="AW20" s="210">
        <v>0</v>
      </c>
      <c r="AX20" s="210">
        <v>0</v>
      </c>
      <c r="AY20" s="162">
        <f t="shared" si="18"/>
        <v>0</v>
      </c>
      <c r="AZ20" s="162">
        <f t="shared" si="19"/>
        <v>0</v>
      </c>
      <c r="BA20" s="210">
        <v>0</v>
      </c>
      <c r="BB20" s="210">
        <v>0</v>
      </c>
      <c r="BC20" s="162">
        <f t="shared" si="20"/>
        <v>0</v>
      </c>
      <c r="BD20" s="162">
        <f t="shared" si="21"/>
        <v>0</v>
      </c>
      <c r="BE20" s="60">
        <v>0</v>
      </c>
      <c r="BF20" s="60">
        <v>0</v>
      </c>
      <c r="BG20" s="162">
        <f t="shared" si="0"/>
        <v>0</v>
      </c>
      <c r="BH20" s="162">
        <f t="shared" si="1"/>
        <v>0</v>
      </c>
      <c r="BI20" s="60">
        <v>0</v>
      </c>
      <c r="BJ20" s="60">
        <v>0</v>
      </c>
      <c r="BK20" s="60">
        <v>0</v>
      </c>
      <c r="BL20" s="162">
        <f t="shared" si="22"/>
        <v>0</v>
      </c>
      <c r="BM20" s="162">
        <f t="shared" si="23"/>
        <v>0</v>
      </c>
      <c r="BN20" s="277">
        <v>0</v>
      </c>
      <c r="BO20" s="277">
        <v>0</v>
      </c>
      <c r="BP20" s="255">
        <v>0</v>
      </c>
      <c r="BQ20" s="162">
        <f t="shared" si="24"/>
        <v>0</v>
      </c>
      <c r="BR20" s="162">
        <f t="shared" si="25"/>
        <v>0</v>
      </c>
      <c r="BS20" s="246">
        <v>17</v>
      </c>
      <c r="BT20" s="81" t="s">
        <v>22</v>
      </c>
      <c r="BU20" s="60">
        <f t="shared" si="26"/>
        <v>0</v>
      </c>
      <c r="BV20" s="58">
        <f t="shared" si="27"/>
        <v>0</v>
      </c>
      <c r="BW20" s="60"/>
      <c r="BX20" s="60"/>
      <c r="BY20" s="60"/>
      <c r="BZ20" s="162"/>
      <c r="CA20" s="162"/>
      <c r="CB20" s="246">
        <v>17</v>
      </c>
      <c r="CC20" s="81" t="s">
        <v>22</v>
      </c>
      <c r="CD20" s="60">
        <f t="shared" si="28"/>
        <v>0</v>
      </c>
      <c r="CE20" s="58">
        <f t="shared" si="29"/>
        <v>0</v>
      </c>
      <c r="CF20" s="60"/>
      <c r="CG20" s="60"/>
      <c r="CH20" s="60">
        <f t="shared" si="32"/>
        <v>0</v>
      </c>
      <c r="CI20" s="60"/>
      <c r="CJ20" s="60">
        <v>0</v>
      </c>
      <c r="CK20" s="60">
        <v>0</v>
      </c>
      <c r="CL20" s="60">
        <v>0</v>
      </c>
      <c r="CM20" s="311">
        <f t="shared" si="30"/>
        <v>0</v>
      </c>
      <c r="CN20" s="60">
        <v>0</v>
      </c>
      <c r="CO20" s="60">
        <v>0</v>
      </c>
      <c r="CP20" s="312">
        <v>0</v>
      </c>
      <c r="CQ20" s="333">
        <f t="shared" si="31"/>
        <v>0</v>
      </c>
      <c r="CR20" s="82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D20" s="2"/>
      <c r="DE20" s="7"/>
      <c r="DF20" s="3"/>
      <c r="DG20" s="2"/>
      <c r="DH20" s="3"/>
      <c r="DI20" s="2"/>
      <c r="DJ20" s="84"/>
      <c r="DK20" s="2"/>
      <c r="DL20" s="84"/>
      <c r="DM20" s="85"/>
      <c r="DN20" s="86"/>
      <c r="DO20" s="85"/>
      <c r="DP20" s="87"/>
      <c r="DQ20" s="2"/>
    </row>
    <row r="21" spans="2:121" ht="14.65">
      <c r="B21" s="76" t="s">
        <v>23</v>
      </c>
      <c r="C21" s="77">
        <v>6</v>
      </c>
      <c r="D21" s="77">
        <v>58</v>
      </c>
      <c r="E21" s="77">
        <v>185</v>
      </c>
      <c r="F21" s="77">
        <v>130</v>
      </c>
      <c r="G21" s="77">
        <v>87</v>
      </c>
      <c r="H21" s="77">
        <v>469</v>
      </c>
      <c r="I21" s="77">
        <v>82</v>
      </c>
      <c r="J21" s="77">
        <v>481</v>
      </c>
      <c r="K21" s="77">
        <v>4</v>
      </c>
      <c r="L21" s="77">
        <v>374</v>
      </c>
      <c r="M21" s="77">
        <v>5</v>
      </c>
      <c r="N21" s="77">
        <v>609</v>
      </c>
      <c r="O21" s="77">
        <v>9</v>
      </c>
      <c r="P21" s="77">
        <v>588</v>
      </c>
      <c r="Q21" s="77">
        <v>15</v>
      </c>
      <c r="R21" s="77">
        <v>121</v>
      </c>
      <c r="S21" s="77">
        <v>5</v>
      </c>
      <c r="T21" s="77">
        <v>240</v>
      </c>
      <c r="U21" s="78">
        <v>0.10501995379122034</v>
      </c>
      <c r="V21" s="78">
        <v>2.2450888681010288</v>
      </c>
      <c r="W21" s="77">
        <f>6+2+1+1</f>
        <v>10</v>
      </c>
      <c r="X21" s="77">
        <f>67+1+95+47</f>
        <v>210</v>
      </c>
      <c r="Y21" s="79">
        <f t="shared" si="2"/>
        <v>1.1890606420927468E-2</v>
      </c>
      <c r="Z21" s="79">
        <f t="shared" si="3"/>
        <v>2.5691216050893077E-2</v>
      </c>
      <c r="AA21" s="238">
        <f t="shared" si="4"/>
        <v>220</v>
      </c>
      <c r="AB21" s="58">
        <f t="shared" si="5"/>
        <v>2.4403771491957847E-2</v>
      </c>
      <c r="AC21" s="60">
        <f>1+20+1+1+1+1</f>
        <v>25</v>
      </c>
      <c r="AD21" s="60">
        <f>48+248+73</f>
        <v>369</v>
      </c>
      <c r="AE21" s="79">
        <f t="shared" si="6"/>
        <v>3.9469529523208082E-3</v>
      </c>
      <c r="AF21" s="79">
        <f t="shared" si="7"/>
        <v>4.2767732962447846E-2</v>
      </c>
      <c r="AG21" s="60">
        <f t="shared" si="8"/>
        <v>394</v>
      </c>
      <c r="AH21" s="79">
        <f t="shared" si="9"/>
        <v>2.6333377890656328E-2</v>
      </c>
      <c r="AI21" s="57">
        <v>15</v>
      </c>
      <c r="AJ21" s="57">
        <v>680</v>
      </c>
      <c r="AK21" s="79">
        <f t="shared" si="10"/>
        <v>5.268703898840885E-3</v>
      </c>
      <c r="AL21" s="79">
        <f t="shared" si="11"/>
        <v>9.541181422758524E-2</v>
      </c>
      <c r="AM21" s="60">
        <f t="shared" si="12"/>
        <v>695</v>
      </c>
      <c r="AN21" s="79">
        <f t="shared" si="13"/>
        <v>6.9681171044716259E-2</v>
      </c>
      <c r="AO21" s="55">
        <v>1</v>
      </c>
      <c r="AP21" s="55">
        <v>574</v>
      </c>
      <c r="AQ21" s="162">
        <f t="shared" si="14"/>
        <v>6.1462814996926854E-4</v>
      </c>
      <c r="AR21" s="162">
        <f t="shared" si="15"/>
        <v>0.10633567988143756</v>
      </c>
      <c r="AS21" s="55">
        <v>1</v>
      </c>
      <c r="AT21" s="55">
        <v>410</v>
      </c>
      <c r="AU21" s="162">
        <f t="shared" si="16"/>
        <v>9.0579710144927537E-4</v>
      </c>
      <c r="AV21" s="162">
        <f>+AT21/$AT$23</f>
        <v>4.1206030150753768E-2</v>
      </c>
      <c r="AW21" s="210">
        <v>0</v>
      </c>
      <c r="AX21" s="210">
        <f>627+1</f>
        <v>628</v>
      </c>
      <c r="AY21" s="162">
        <f t="shared" si="18"/>
        <v>0</v>
      </c>
      <c r="AZ21" s="162">
        <f t="shared" si="19"/>
        <v>4.6719238208599911E-2</v>
      </c>
      <c r="BA21" s="210">
        <v>115</v>
      </c>
      <c r="BB21" s="210">
        <v>363</v>
      </c>
      <c r="BC21" s="162">
        <f t="shared" si="20"/>
        <v>0.1419753086419753</v>
      </c>
      <c r="BD21" s="162">
        <f t="shared" si="21"/>
        <v>3.4404321865226045E-2</v>
      </c>
      <c r="BE21" s="60">
        <v>16</v>
      </c>
      <c r="BF21" s="60">
        <v>442</v>
      </c>
      <c r="BG21" s="162">
        <f t="shared" si="0"/>
        <v>2.4577572964669739E-2</v>
      </c>
      <c r="BH21" s="162">
        <f t="shared" si="1"/>
        <v>5.2431791221826812E-2</v>
      </c>
      <c r="BI21" s="60">
        <v>202</v>
      </c>
      <c r="BJ21" s="60">
        <v>979</v>
      </c>
      <c r="BK21" s="60">
        <v>120</v>
      </c>
      <c r="BL21" s="162">
        <f t="shared" si="22"/>
        <v>3.5885592467578609E-2</v>
      </c>
      <c r="BM21" s="162">
        <f t="shared" si="23"/>
        <v>4.0221857025472471E-2</v>
      </c>
      <c r="BN21" s="277">
        <v>0</v>
      </c>
      <c r="BO21" s="277">
        <v>12</v>
      </c>
      <c r="BP21" s="255">
        <v>12</v>
      </c>
      <c r="BQ21" s="162">
        <f t="shared" si="24"/>
        <v>0</v>
      </c>
      <c r="BR21" s="162">
        <f t="shared" si="25"/>
        <v>1.9973368841544607E-3</v>
      </c>
      <c r="BS21" s="246">
        <v>18</v>
      </c>
      <c r="BT21" s="81" t="s">
        <v>23</v>
      </c>
      <c r="BU21" s="60">
        <f t="shared" si="26"/>
        <v>12</v>
      </c>
      <c r="BV21" s="58">
        <f t="shared" si="27"/>
        <v>9.666505558240696E-4</v>
      </c>
      <c r="BW21" s="60"/>
      <c r="BX21" s="60">
        <v>184</v>
      </c>
      <c r="BY21" s="60">
        <v>14</v>
      </c>
      <c r="BZ21" s="162"/>
      <c r="CA21" s="162"/>
      <c r="CB21" s="246">
        <v>18</v>
      </c>
      <c r="CC21" s="81" t="s">
        <v>23</v>
      </c>
      <c r="CD21" s="60">
        <f t="shared" si="28"/>
        <v>184</v>
      </c>
      <c r="CE21" s="58">
        <f t="shared" si="29"/>
        <v>1.4821975189302401E-2</v>
      </c>
      <c r="CF21" s="60"/>
      <c r="CG21" s="60">
        <v>184</v>
      </c>
      <c r="CH21" s="60">
        <f t="shared" si="32"/>
        <v>184</v>
      </c>
      <c r="CI21" s="60">
        <v>14</v>
      </c>
      <c r="CJ21" s="60">
        <v>0</v>
      </c>
      <c r="CK21" s="60">
        <v>0</v>
      </c>
      <c r="CL21" s="60">
        <v>13</v>
      </c>
      <c r="CM21" s="311">
        <f t="shared" si="30"/>
        <v>12</v>
      </c>
      <c r="CN21" s="60">
        <v>0</v>
      </c>
      <c r="CO21" s="60">
        <v>12</v>
      </c>
      <c r="CP21" s="312">
        <v>72</v>
      </c>
      <c r="CQ21" s="333">
        <f t="shared" si="31"/>
        <v>5.3884149079479124E-3</v>
      </c>
      <c r="CR21" s="82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D21" s="2"/>
      <c r="DE21" s="7"/>
      <c r="DF21" s="3"/>
      <c r="DG21" s="2"/>
      <c r="DH21" s="3"/>
      <c r="DI21" s="2"/>
      <c r="DJ21" s="84"/>
      <c r="DK21" s="2"/>
      <c r="DL21" s="84"/>
      <c r="DM21" s="85"/>
      <c r="DN21" s="86"/>
      <c r="DO21" s="85"/>
      <c r="DP21" s="87"/>
      <c r="DQ21" s="2"/>
    </row>
    <row r="22" spans="2:121" ht="14.65">
      <c r="B22" s="76" t="s">
        <v>24</v>
      </c>
      <c r="C22" s="77">
        <v>108</v>
      </c>
      <c r="D22" s="77">
        <v>131</v>
      </c>
      <c r="E22" s="77">
        <v>252</v>
      </c>
      <c r="F22" s="77">
        <v>286</v>
      </c>
      <c r="G22" s="77">
        <v>130</v>
      </c>
      <c r="H22" s="77">
        <v>408</v>
      </c>
      <c r="I22" s="77">
        <v>129</v>
      </c>
      <c r="J22" s="77">
        <v>1695</v>
      </c>
      <c r="K22" s="77">
        <v>20</v>
      </c>
      <c r="L22" s="77">
        <v>747</v>
      </c>
      <c r="M22" s="77">
        <v>68</v>
      </c>
      <c r="N22" s="77">
        <v>2560</v>
      </c>
      <c r="O22" s="77">
        <v>33</v>
      </c>
      <c r="P22" s="77">
        <v>1143</v>
      </c>
      <c r="Q22" s="77">
        <v>273</v>
      </c>
      <c r="R22" s="77">
        <v>2574</v>
      </c>
      <c r="S22" s="77">
        <v>97</v>
      </c>
      <c r="T22" s="77">
        <v>2397</v>
      </c>
      <c r="U22" s="78">
        <v>2.0373871035496744</v>
      </c>
      <c r="V22" s="78">
        <v>22.422825070159028</v>
      </c>
      <c r="W22" s="77">
        <f>63+4+1+55+3</f>
        <v>126</v>
      </c>
      <c r="X22" s="77">
        <f>363+682+172+24</f>
        <v>1241</v>
      </c>
      <c r="Y22" s="79">
        <f t="shared" si="2"/>
        <v>0.14982164090368608</v>
      </c>
      <c r="Z22" s="79">
        <f t="shared" si="3"/>
        <v>0.15182285294837289</v>
      </c>
      <c r="AA22" s="238">
        <f t="shared" si="4"/>
        <v>1367</v>
      </c>
      <c r="AB22" s="58">
        <f t="shared" si="5"/>
        <v>0.15163616195230173</v>
      </c>
      <c r="AC22" s="60">
        <f>8+1+1+3+3+1+30+5</f>
        <v>52</v>
      </c>
      <c r="AD22" s="60">
        <f>2+1+1+268</f>
        <v>272</v>
      </c>
      <c r="AE22" s="79">
        <f t="shared" si="6"/>
        <v>8.2096621408272816E-3</v>
      </c>
      <c r="AF22" s="79">
        <f t="shared" si="7"/>
        <v>3.1525266573945297E-2</v>
      </c>
      <c r="AG22" s="60">
        <f t="shared" si="8"/>
        <v>324</v>
      </c>
      <c r="AH22" s="79">
        <f t="shared" si="9"/>
        <v>2.1654858976072718E-2</v>
      </c>
      <c r="AI22" s="57">
        <v>35</v>
      </c>
      <c r="AJ22" s="57">
        <v>778</v>
      </c>
      <c r="AK22" s="79">
        <f t="shared" si="10"/>
        <v>1.2293642430628733E-2</v>
      </c>
      <c r="AL22" s="79">
        <f t="shared" si="11"/>
        <v>0.1091623403956784</v>
      </c>
      <c r="AM22" s="60">
        <f t="shared" si="12"/>
        <v>813</v>
      </c>
      <c r="AN22" s="79">
        <f t="shared" si="13"/>
        <v>8.1511931020653697E-2</v>
      </c>
      <c r="AO22" s="55">
        <v>12</v>
      </c>
      <c r="AP22" s="55">
        <v>742</v>
      </c>
      <c r="AQ22" s="162">
        <f t="shared" si="14"/>
        <v>7.3755377996312229E-3</v>
      </c>
      <c r="AR22" s="162">
        <f t="shared" si="15"/>
        <v>0.13745831789551685</v>
      </c>
      <c r="AS22" s="55">
        <v>12</v>
      </c>
      <c r="AT22" s="55">
        <v>1082</v>
      </c>
      <c r="AU22" s="162">
        <f t="shared" si="16"/>
        <v>1.0869565217391304E-2</v>
      </c>
      <c r="AV22" s="162">
        <f t="shared" si="17"/>
        <v>0.10874371859296482</v>
      </c>
      <c r="AW22" s="210">
        <v>23</v>
      </c>
      <c r="AX22" s="210">
        <f>451+716</f>
        <v>1167</v>
      </c>
      <c r="AY22" s="162">
        <f t="shared" si="18"/>
        <v>3.5493827160493825E-2</v>
      </c>
      <c r="AZ22" s="162">
        <f t="shared" si="19"/>
        <v>8.6817437881267667E-2</v>
      </c>
      <c r="BA22" s="210">
        <v>7</v>
      </c>
      <c r="BB22" s="210">
        <v>279</v>
      </c>
      <c r="BC22" s="162">
        <f t="shared" si="20"/>
        <v>8.6419753086419745E-3</v>
      </c>
      <c r="BD22" s="162">
        <f t="shared" si="21"/>
        <v>2.6442991185669604E-2</v>
      </c>
      <c r="BE22" s="60">
        <v>59</v>
      </c>
      <c r="BF22" s="60">
        <v>241</v>
      </c>
      <c r="BG22" s="162">
        <f t="shared" si="0"/>
        <v>9.0629800307219663E-2</v>
      </c>
      <c r="BH22" s="162">
        <f t="shared" si="1"/>
        <v>2.8588374851720048E-2</v>
      </c>
      <c r="BI22" s="60">
        <v>58</v>
      </c>
      <c r="BJ22" s="60">
        <v>1452</v>
      </c>
      <c r="BK22" s="60">
        <v>39</v>
      </c>
      <c r="BL22" s="162">
        <f t="shared" si="22"/>
        <v>1.0303783975839403E-2</v>
      </c>
      <c r="BM22" s="162">
        <f t="shared" si="23"/>
        <v>5.9654889071487263E-2</v>
      </c>
      <c r="BN22" s="277">
        <v>634</v>
      </c>
      <c r="BO22" s="277">
        <v>0</v>
      </c>
      <c r="BP22" s="255">
        <v>634</v>
      </c>
      <c r="BQ22" s="162">
        <f t="shared" si="24"/>
        <v>9.8969715891351853E-2</v>
      </c>
      <c r="BR22" s="162">
        <f t="shared" si="25"/>
        <v>0</v>
      </c>
      <c r="BS22" s="246">
        <v>19</v>
      </c>
      <c r="BT22" s="81" t="s">
        <v>24</v>
      </c>
      <c r="BU22" s="60">
        <f t="shared" si="26"/>
        <v>634</v>
      </c>
      <c r="BV22" s="58">
        <f t="shared" si="27"/>
        <v>5.107137103270501E-2</v>
      </c>
      <c r="BW22" s="60">
        <v>2</v>
      </c>
      <c r="BX22" s="60">
        <v>1</v>
      </c>
      <c r="BY22" s="60"/>
      <c r="BZ22" s="162"/>
      <c r="CA22" s="162"/>
      <c r="CB22" s="246">
        <v>19</v>
      </c>
      <c r="CC22" s="327" t="s">
        <v>24</v>
      </c>
      <c r="CD22" s="60">
        <f t="shared" si="28"/>
        <v>3</v>
      </c>
      <c r="CE22" s="328">
        <f t="shared" si="29"/>
        <v>2.416626389560174E-4</v>
      </c>
      <c r="CF22" s="60">
        <v>2</v>
      </c>
      <c r="CG22" s="60">
        <v>1</v>
      </c>
      <c r="CH22" s="60">
        <f t="shared" si="32"/>
        <v>3</v>
      </c>
      <c r="CI22" s="60"/>
      <c r="CJ22" s="60">
        <v>0</v>
      </c>
      <c r="CK22" s="60">
        <v>0</v>
      </c>
      <c r="CL22" s="60">
        <v>0</v>
      </c>
      <c r="CM22" s="311">
        <f t="shared" si="30"/>
        <v>634</v>
      </c>
      <c r="CN22" s="60">
        <v>634</v>
      </c>
      <c r="CO22" s="60">
        <v>0</v>
      </c>
      <c r="CP22" s="312">
        <v>0</v>
      </c>
      <c r="CQ22" s="333">
        <f t="shared" si="31"/>
        <v>4.0669702995702099E-2</v>
      </c>
      <c r="CR22" s="82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D22" s="2"/>
      <c r="DE22" s="7"/>
      <c r="DF22" s="3"/>
      <c r="DG22" s="2"/>
      <c r="DH22" s="3"/>
      <c r="DI22" s="2"/>
      <c r="DJ22" s="84"/>
      <c r="DK22" s="2"/>
      <c r="DL22" s="84"/>
      <c r="DM22" s="85"/>
      <c r="DN22" s="86"/>
      <c r="DO22" s="85"/>
      <c r="DP22" s="87"/>
      <c r="DQ22" s="2"/>
    </row>
    <row r="23" spans="2:121" ht="14.65">
      <c r="B23" s="167" t="s">
        <v>9</v>
      </c>
      <c r="C23" s="168">
        <v>7485</v>
      </c>
      <c r="D23" s="168">
        <v>6584</v>
      </c>
      <c r="E23" s="168">
        <v>6074</v>
      </c>
      <c r="F23" s="168">
        <v>8693</v>
      </c>
      <c r="G23" s="168">
        <v>6093</v>
      </c>
      <c r="H23" s="168">
        <v>10262</v>
      </c>
      <c r="I23" s="168">
        <v>4902</v>
      </c>
      <c r="J23" s="168">
        <v>15872</v>
      </c>
      <c r="K23" s="168">
        <v>5160</v>
      </c>
      <c r="L23" s="168">
        <v>9269</v>
      </c>
      <c r="M23" s="168">
        <v>3648</v>
      </c>
      <c r="N23" s="168">
        <v>10649</v>
      </c>
      <c r="O23" s="168">
        <v>1081</v>
      </c>
      <c r="P23" s="168">
        <v>8970</v>
      </c>
      <c r="Q23" s="168">
        <v>6016</v>
      </c>
      <c r="R23" s="168">
        <v>9627</v>
      </c>
      <c r="S23" s="168">
        <v>4761</v>
      </c>
      <c r="T23" s="168">
        <v>10690</v>
      </c>
      <c r="U23" s="168">
        <v>99.999999999999986</v>
      </c>
      <c r="V23" s="168">
        <v>100.00000000000003</v>
      </c>
      <c r="W23" s="168">
        <f>SUM(W4:W22)</f>
        <v>841</v>
      </c>
      <c r="X23" s="168">
        <f>SUM(X4:X22)</f>
        <v>8174</v>
      </c>
      <c r="Y23" s="169">
        <f>SUM(Y4:Y22)</f>
        <v>1</v>
      </c>
      <c r="Z23" s="169">
        <f>SUM(Z4:Z22)</f>
        <v>1</v>
      </c>
      <c r="AA23" s="239">
        <f>SUM(AA4:AA22)</f>
        <v>9015</v>
      </c>
      <c r="AB23" s="169">
        <v>0.99999999999999989</v>
      </c>
      <c r="AC23" s="168">
        <f t="shared" ref="AC23:AP23" si="33">SUM(AC4:AC22)</f>
        <v>6334</v>
      </c>
      <c r="AD23" s="168">
        <f t="shared" si="33"/>
        <v>8628</v>
      </c>
      <c r="AE23" s="169">
        <f t="shared" si="33"/>
        <v>1</v>
      </c>
      <c r="AF23" s="169">
        <f t="shared" si="33"/>
        <v>1</v>
      </c>
      <c r="AG23" s="168">
        <f t="shared" si="33"/>
        <v>14962</v>
      </c>
      <c r="AH23" s="169">
        <f t="shared" si="33"/>
        <v>0.99999999999999989</v>
      </c>
      <c r="AI23" s="168">
        <f t="shared" si="33"/>
        <v>2847</v>
      </c>
      <c r="AJ23" s="168">
        <f t="shared" si="33"/>
        <v>7127</v>
      </c>
      <c r="AK23" s="169">
        <f t="shared" si="33"/>
        <v>1</v>
      </c>
      <c r="AL23" s="169">
        <f t="shared" si="33"/>
        <v>1</v>
      </c>
      <c r="AM23" s="168">
        <f t="shared" si="33"/>
        <v>9974</v>
      </c>
      <c r="AN23" s="169">
        <f t="shared" si="33"/>
        <v>1</v>
      </c>
      <c r="AO23" s="168">
        <f t="shared" si="33"/>
        <v>1627</v>
      </c>
      <c r="AP23" s="168">
        <f t="shared" si="33"/>
        <v>5398</v>
      </c>
      <c r="AQ23" s="169"/>
      <c r="AR23" s="169"/>
      <c r="AS23" s="170">
        <f t="shared" ref="AS23:AZ23" si="34">SUM(AS4:AS22)</f>
        <v>1104</v>
      </c>
      <c r="AT23" s="170">
        <f t="shared" si="34"/>
        <v>9950</v>
      </c>
      <c r="AU23" s="169">
        <f t="shared" si="34"/>
        <v>0.99999999999999989</v>
      </c>
      <c r="AV23" s="169">
        <f t="shared" si="34"/>
        <v>1</v>
      </c>
      <c r="AW23" s="170">
        <f t="shared" si="34"/>
        <v>648</v>
      </c>
      <c r="AX23" s="170">
        <f t="shared" si="34"/>
        <v>13442</v>
      </c>
      <c r="AY23" s="169">
        <f t="shared" si="34"/>
        <v>0.99999999999999989</v>
      </c>
      <c r="AZ23" s="169">
        <f t="shared" si="34"/>
        <v>1</v>
      </c>
      <c r="BA23" s="170">
        <f t="shared" ref="BA23:BH23" si="35">SUM(BA4:BA22)</f>
        <v>810</v>
      </c>
      <c r="BB23" s="170">
        <f t="shared" si="35"/>
        <v>10551</v>
      </c>
      <c r="BC23" s="169">
        <f t="shared" si="35"/>
        <v>1</v>
      </c>
      <c r="BD23" s="169">
        <f t="shared" si="35"/>
        <v>0.99999999999999989</v>
      </c>
      <c r="BE23" s="170">
        <f>SUM(BE4:BE22)</f>
        <v>651</v>
      </c>
      <c r="BF23" s="170">
        <f>SUM(BF4:BF22)</f>
        <v>8430</v>
      </c>
      <c r="BG23" s="169">
        <f t="shared" si="35"/>
        <v>1</v>
      </c>
      <c r="BH23" s="169">
        <f t="shared" si="35"/>
        <v>1</v>
      </c>
      <c r="BI23" s="170">
        <f t="shared" ref="BI23:BR23" si="36">SUM(BI4:BI22)</f>
        <v>5629</v>
      </c>
      <c r="BJ23" s="170">
        <f t="shared" si="36"/>
        <v>24340</v>
      </c>
      <c r="BK23" s="170">
        <f t="shared" si="36"/>
        <v>15219</v>
      </c>
      <c r="BL23" s="169">
        <f t="shared" si="36"/>
        <v>1</v>
      </c>
      <c r="BM23" s="169">
        <f t="shared" si="36"/>
        <v>0.99999999999999989</v>
      </c>
      <c r="BN23" s="170">
        <f t="shared" si="36"/>
        <v>6406</v>
      </c>
      <c r="BO23" s="170">
        <f t="shared" si="36"/>
        <v>6008</v>
      </c>
      <c r="BP23" s="170">
        <f t="shared" si="36"/>
        <v>12414</v>
      </c>
      <c r="BQ23" s="169">
        <f t="shared" si="36"/>
        <v>1</v>
      </c>
      <c r="BR23" s="169">
        <f t="shared" si="36"/>
        <v>0.99999999999999989</v>
      </c>
      <c r="BS23" s="247"/>
      <c r="BT23" s="259" t="s">
        <v>42</v>
      </c>
      <c r="BU23" s="260">
        <f t="shared" ref="BU23:CM23" si="37">SUM(BU4:BU22)</f>
        <v>12414</v>
      </c>
      <c r="BV23" s="261">
        <f t="shared" si="37"/>
        <v>1.0000000000000002</v>
      </c>
      <c r="BW23" s="170">
        <f>SUM(BW4:BW22)</f>
        <v>169</v>
      </c>
      <c r="BX23" s="170">
        <f>SUM(BX4:BX22)</f>
        <v>1891</v>
      </c>
      <c r="BY23" s="170">
        <f>SUM(BY4:BY22)</f>
        <v>687</v>
      </c>
      <c r="BZ23" s="169"/>
      <c r="CA23" s="169"/>
      <c r="CB23" s="247"/>
      <c r="CC23" s="329" t="s">
        <v>42</v>
      </c>
      <c r="CD23" s="330">
        <f>SUM(CD4:CD22)</f>
        <v>2060</v>
      </c>
      <c r="CE23" s="331">
        <f>SUM(CE4:CE22)</f>
        <v>0.16594167874979859</v>
      </c>
      <c r="CF23" s="101">
        <f>SUM(CF4:CF22)</f>
        <v>169</v>
      </c>
      <c r="CG23" s="101">
        <f t="shared" ref="CG23" si="38">SUM(CG4:CG22)</f>
        <v>1891</v>
      </c>
      <c r="CH23" s="101">
        <f>SUM(CH4:CH22)</f>
        <v>2060</v>
      </c>
      <c r="CI23" s="101">
        <f>SUM(CI4:CI22)</f>
        <v>687</v>
      </c>
      <c r="CJ23" s="101">
        <f>SUM(CJ4:CJ22)</f>
        <v>2368</v>
      </c>
      <c r="CK23" s="101">
        <f>SUM(CK4:CK22)</f>
        <v>2418</v>
      </c>
      <c r="CL23" s="101">
        <f>SUM(CL4:CL22)</f>
        <v>60</v>
      </c>
      <c r="CM23" s="313">
        <f t="shared" si="37"/>
        <v>14465</v>
      </c>
      <c r="CN23" s="314">
        <f>SUM(CN4:CN22)</f>
        <v>4900</v>
      </c>
      <c r="CO23" s="314">
        <f>SUM(CO4:CO22)</f>
        <v>9565</v>
      </c>
      <c r="CP23" s="315">
        <f>SUM(CP4:CP22)</f>
        <v>1124</v>
      </c>
      <c r="CQ23" s="101">
        <f>+CP23+CN23+CO23</f>
        <v>15589</v>
      </c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90"/>
      <c r="DD23" s="91"/>
      <c r="DE23" s="92"/>
      <c r="DF23" s="92"/>
      <c r="DG23" s="91"/>
      <c r="DH23" s="91"/>
      <c r="DI23" s="92"/>
      <c r="DJ23" s="92"/>
      <c r="DK23" s="91"/>
      <c r="DL23" s="91"/>
      <c r="DM23" s="93"/>
      <c r="DN23" s="94"/>
      <c r="DO23" s="93"/>
      <c r="DP23" s="95"/>
    </row>
    <row r="24" spans="2:121" ht="18">
      <c r="B24" s="427" t="s">
        <v>27</v>
      </c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S24" s="96"/>
      <c r="U24" s="97"/>
      <c r="W24" s="98"/>
      <c r="X24" s="98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100"/>
      <c r="BW24" s="99"/>
      <c r="BX24" s="99"/>
      <c r="BY24" s="99"/>
      <c r="BZ24" s="99"/>
      <c r="CA24" s="99"/>
      <c r="CB24" s="99"/>
      <c r="CC24" s="100"/>
      <c r="CF24" s="82"/>
      <c r="CG24" s="82"/>
      <c r="CH24" s="82"/>
      <c r="CI24" s="82"/>
      <c r="CJ24" s="82"/>
      <c r="CK24" s="82"/>
      <c r="CL24" s="82"/>
      <c r="CM24" s="258"/>
      <c r="CN24" s="258"/>
      <c r="CO24" s="258"/>
      <c r="CP24" s="258"/>
      <c r="CQ24" s="100"/>
      <c r="CR24" s="101"/>
      <c r="CS24" s="102"/>
      <c r="DA24" s="103"/>
      <c r="DI24" s="104"/>
      <c r="DO24" s="105"/>
      <c r="DP24" s="106"/>
    </row>
    <row r="25" spans="2:121" ht="12.95" customHeight="1">
      <c r="B25" s="102"/>
      <c r="C25" s="107"/>
      <c r="D25" s="107"/>
      <c r="E25" s="107"/>
      <c r="F25" s="102"/>
      <c r="G25" s="103"/>
      <c r="I25" s="103"/>
      <c r="L25" s="103"/>
      <c r="M25" s="108"/>
      <c r="N25" s="108"/>
      <c r="O25" s="108"/>
      <c r="Q25" s="109"/>
      <c r="U25" s="108"/>
      <c r="Y25" s="98"/>
      <c r="AB25" s="99"/>
      <c r="AC25" s="99"/>
      <c r="AD25" s="99"/>
      <c r="AE25" s="99"/>
      <c r="AF25" s="99"/>
      <c r="AG25" s="99"/>
      <c r="AH25" s="99"/>
      <c r="AI25" s="110"/>
      <c r="AJ25" s="110"/>
      <c r="AK25" s="111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W25" s="99"/>
      <c r="BX25" s="99"/>
      <c r="BY25" s="99"/>
      <c r="BZ25" s="99"/>
      <c r="CA25" s="99"/>
      <c r="CB25" s="99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02"/>
      <c r="CR25" s="102"/>
      <c r="CS25" s="113"/>
      <c r="CT25" s="114"/>
      <c r="CU25" s="113"/>
      <c r="CV25" s="115"/>
      <c r="CW25" s="115"/>
      <c r="CX25" s="115"/>
      <c r="CY25" s="70"/>
      <c r="CZ25" s="70"/>
      <c r="DA25" s="103"/>
    </row>
    <row r="26" spans="2:121" ht="18">
      <c r="B26" s="421" t="s">
        <v>25</v>
      </c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97"/>
      <c r="R26" s="97"/>
      <c r="S26" s="97"/>
      <c r="T26" s="97"/>
      <c r="AI26" s="98"/>
      <c r="AJ26" s="98"/>
      <c r="BU26" s="358" t="s">
        <v>158</v>
      </c>
      <c r="BV26" s="357">
        <f>+BV12+BV14+BV19</f>
        <v>0.73932656677944253</v>
      </c>
      <c r="CJ26" s="345" t="s">
        <v>153</v>
      </c>
      <c r="CK26" s="344">
        <f>+SUM(CJ23:CL23)</f>
        <v>4846</v>
      </c>
      <c r="CL26" s="298"/>
      <c r="CR26" s="116"/>
      <c r="CV26" s="110"/>
      <c r="CW26" s="110"/>
      <c r="CX26" s="110"/>
      <c r="CY26" s="117"/>
      <c r="CZ26" s="117"/>
    </row>
    <row r="27" spans="2:121" ht="17.25" hidden="1" customHeight="1"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108"/>
      <c r="R27" s="108"/>
      <c r="S27" s="108"/>
      <c r="T27" s="108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W27" s="115"/>
      <c r="BX27" s="115"/>
      <c r="BY27" s="115"/>
      <c r="BZ27" s="115"/>
      <c r="CA27" s="115"/>
      <c r="CB27" s="115"/>
      <c r="CV27" s="425"/>
      <c r="CW27" s="425"/>
      <c r="CX27" s="118"/>
      <c r="CY27" s="117"/>
      <c r="CZ27" s="117"/>
    </row>
    <row r="28" spans="2:121" ht="22.5" customHeight="1">
      <c r="B28" s="417" t="s">
        <v>0</v>
      </c>
      <c r="C28" s="409">
        <v>2012</v>
      </c>
      <c r="D28" s="409" t="s">
        <v>11</v>
      </c>
      <c r="E28" s="409">
        <v>2013</v>
      </c>
      <c r="F28" s="409" t="s">
        <v>11</v>
      </c>
      <c r="G28" s="409">
        <v>2014</v>
      </c>
      <c r="H28" s="409" t="s">
        <v>11</v>
      </c>
      <c r="I28" s="409">
        <v>2015</v>
      </c>
      <c r="J28" s="409" t="s">
        <v>11</v>
      </c>
      <c r="K28" s="409">
        <v>2016</v>
      </c>
      <c r="L28" s="409" t="s">
        <v>11</v>
      </c>
      <c r="M28" s="409">
        <v>2017</v>
      </c>
      <c r="N28" s="409" t="s">
        <v>11</v>
      </c>
      <c r="O28" s="409">
        <v>2018</v>
      </c>
      <c r="P28" s="409" t="s">
        <v>11</v>
      </c>
      <c r="Q28" s="409">
        <v>2019</v>
      </c>
      <c r="R28" s="409" t="s">
        <v>11</v>
      </c>
      <c r="S28" s="409">
        <v>2020</v>
      </c>
      <c r="T28" s="409" t="s">
        <v>11</v>
      </c>
      <c r="U28" s="409">
        <v>2021</v>
      </c>
      <c r="V28" s="409" t="s">
        <v>11</v>
      </c>
      <c r="W28" s="409">
        <v>2022</v>
      </c>
      <c r="X28" s="409" t="s">
        <v>11</v>
      </c>
      <c r="Y28" s="409">
        <v>2023</v>
      </c>
      <c r="Z28" s="409" t="s">
        <v>11</v>
      </c>
      <c r="AA28" s="409" t="s">
        <v>94</v>
      </c>
      <c r="AB28" s="409" t="s">
        <v>11</v>
      </c>
      <c r="AC28" s="409" t="s">
        <v>111</v>
      </c>
      <c r="AD28" s="409" t="s">
        <v>11</v>
      </c>
      <c r="AE28" s="430" t="s">
        <v>122</v>
      </c>
      <c r="AF28" s="409" t="s">
        <v>11</v>
      </c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U28" s="358" t="s">
        <v>159</v>
      </c>
      <c r="BV28" s="100">
        <f>+BU12+BU14+BU19</f>
        <v>9178</v>
      </c>
      <c r="BW28" s="115"/>
      <c r="BX28" s="115"/>
      <c r="BY28" s="115"/>
      <c r="BZ28" s="115"/>
      <c r="CA28" s="115"/>
      <c r="CB28" s="115"/>
      <c r="CJ28" s="112"/>
      <c r="CK28" s="112"/>
      <c r="CL28" s="112"/>
      <c r="CU28" s="407"/>
    </row>
    <row r="29" spans="2:121">
      <c r="B29" s="418"/>
      <c r="C29" s="410"/>
      <c r="D29" s="410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31"/>
      <c r="AF29" s="410"/>
      <c r="AG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W29" s="119"/>
      <c r="BX29" s="119"/>
      <c r="BY29" s="119"/>
      <c r="BZ29" s="119"/>
      <c r="CA29" s="119"/>
      <c r="CB29" s="119"/>
      <c r="CR29" s="98"/>
      <c r="CU29" s="408"/>
    </row>
    <row r="30" spans="2:121" ht="14.65">
      <c r="B30" s="76" t="s">
        <v>12</v>
      </c>
      <c r="C30" s="77">
        <v>5295</v>
      </c>
      <c r="D30" s="120">
        <v>34.653141361256544</v>
      </c>
      <c r="E30" s="121">
        <v>3018</v>
      </c>
      <c r="F30" s="120">
        <v>23.942879809599365</v>
      </c>
      <c r="G30" s="121">
        <v>4766</v>
      </c>
      <c r="H30" s="120">
        <v>30.598356445814073</v>
      </c>
      <c r="I30" s="121">
        <v>5157</v>
      </c>
      <c r="J30" s="86">
        <v>0.32552707991415225</v>
      </c>
      <c r="K30" s="56">
        <v>4600</v>
      </c>
      <c r="L30" s="125">
        <v>0.27630946660259492</v>
      </c>
      <c r="M30" s="121">
        <f>2122+273+209+157+21+201</f>
        <v>2983</v>
      </c>
      <c r="N30" s="86">
        <f>+M30/$M$49</f>
        <v>0.20675076240643195</v>
      </c>
      <c r="O30" s="56">
        <f>349+425+112+432+86+349+147+72+191+612+341</f>
        <v>3116</v>
      </c>
      <c r="P30" s="59">
        <f>+O30/$O$49</f>
        <v>0.24160657517252074</v>
      </c>
      <c r="Q30" s="56">
        <v>2402</v>
      </c>
      <c r="R30" s="59">
        <f>+Q30/$Q$49</f>
        <v>0.18624486314646818</v>
      </c>
      <c r="S30" s="56">
        <v>1888</v>
      </c>
      <c r="T30" s="59">
        <f>+S30/$S$49</f>
        <v>0.22689580579257301</v>
      </c>
      <c r="U30" s="56">
        <v>1383</v>
      </c>
      <c r="V30" s="59">
        <f>+U30/$U$49</f>
        <v>0.14406250000000001</v>
      </c>
      <c r="W30" s="56">
        <f>1829+157</f>
        <v>1986</v>
      </c>
      <c r="X30" s="59">
        <f>+W30/$W$49</f>
        <v>0.1665827881227982</v>
      </c>
      <c r="Y30" s="230">
        <v>1772</v>
      </c>
      <c r="Z30" s="59">
        <f>+Y30/$Y$49</f>
        <v>0.14603593209164331</v>
      </c>
      <c r="AA30" s="60">
        <v>1796</v>
      </c>
      <c r="AB30" s="59">
        <f>+AA30/$AA$49</f>
        <v>0.13164260060104083</v>
      </c>
      <c r="AC30" s="60">
        <v>5254</v>
      </c>
      <c r="AD30" s="59">
        <f>+AC30/$AC$49</f>
        <v>0.34522636178461136</v>
      </c>
      <c r="AE30" s="60">
        <f>+BP4</f>
        <v>544</v>
      </c>
      <c r="AF30" s="59">
        <f>+AE30/$AE$49</f>
        <v>4.3821491864024488E-2</v>
      </c>
      <c r="AG30" s="60"/>
      <c r="AH30" s="60"/>
      <c r="AI30" s="60"/>
      <c r="AJ30" s="60"/>
      <c r="AK30" s="60"/>
      <c r="AL30" s="60"/>
      <c r="AM30" s="60"/>
      <c r="AN30" s="60"/>
      <c r="AO30" s="60"/>
      <c r="AP30" s="300"/>
      <c r="AQ30" s="300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W30" s="122"/>
      <c r="BX30" s="122"/>
      <c r="BY30" s="122"/>
      <c r="BZ30" s="122"/>
      <c r="CA30" s="122"/>
      <c r="CB30" s="122"/>
      <c r="CR30" s="98"/>
      <c r="CU30" s="124"/>
      <c r="CV30" s="115"/>
      <c r="CW30" s="115"/>
      <c r="CX30" s="115"/>
    </row>
    <row r="31" spans="2:121" ht="14.65">
      <c r="B31" s="76" t="s">
        <v>13</v>
      </c>
      <c r="C31" s="77">
        <v>990</v>
      </c>
      <c r="D31" s="120">
        <v>6.4790575916230368</v>
      </c>
      <c r="E31" s="121">
        <v>1732</v>
      </c>
      <c r="F31" s="120">
        <v>13.740579135263784</v>
      </c>
      <c r="G31" s="121">
        <v>777</v>
      </c>
      <c r="H31" s="120">
        <v>4.9884437596302007</v>
      </c>
      <c r="I31" s="121">
        <v>1420</v>
      </c>
      <c r="J31" s="86">
        <v>8.9635147077389218E-2</v>
      </c>
      <c r="K31" s="56">
        <v>1443</v>
      </c>
      <c r="L31" s="125">
        <v>8.6677078327727058E-2</v>
      </c>
      <c r="M31" s="121">
        <f>311+62+82+88</f>
        <v>543</v>
      </c>
      <c r="N31" s="86">
        <f t="shared" ref="N31:N48" si="39">+M31/$M$49</f>
        <v>3.7635153867479898E-2</v>
      </c>
      <c r="O31" s="56">
        <f>216+94+74+99+106+26+135+138+38</f>
        <v>926</v>
      </c>
      <c r="P31" s="59">
        <f t="shared" ref="P31:P48" si="40">+O31/$O$49</f>
        <v>7.1799643327905713E-2</v>
      </c>
      <c r="Q31" s="56">
        <v>1083</v>
      </c>
      <c r="R31" s="59">
        <f t="shared" ref="R31:R48" si="41">+Q31/$Q$49</f>
        <v>8.3973016980693191E-2</v>
      </c>
      <c r="S31" s="56">
        <v>667</v>
      </c>
      <c r="T31" s="59">
        <f t="shared" ref="T31:T48" si="42">+S31/$S$49</f>
        <v>8.0158634779473617E-2</v>
      </c>
      <c r="U31" s="56">
        <v>984</v>
      </c>
      <c r="V31" s="59">
        <f t="shared" ref="V31:V48" si="43">+U31/$U$49</f>
        <v>0.10249999999999999</v>
      </c>
      <c r="W31" s="56">
        <v>339</v>
      </c>
      <c r="X31" s="59">
        <f t="shared" ref="X31:X48" si="44">+W31/$W$49</f>
        <v>2.8434826371414191E-2</v>
      </c>
      <c r="Y31" s="230">
        <v>995</v>
      </c>
      <c r="Z31" s="59">
        <f t="shared" ref="Z31:Z48" si="45">+Y31/$Y$49</f>
        <v>8.2000988956650728E-2</v>
      </c>
      <c r="AA31" s="60">
        <v>484</v>
      </c>
      <c r="AB31" s="59">
        <f t="shared" ref="AB31:AB48" si="46">+AA31/$AA$49</f>
        <v>3.5476068313420803E-2</v>
      </c>
      <c r="AC31" s="60">
        <v>932</v>
      </c>
      <c r="AD31" s="59">
        <f t="shared" ref="AD31:AD48" si="47">+AC31/$AC$49</f>
        <v>6.1239240423155268E-2</v>
      </c>
      <c r="AE31" s="60">
        <f t="shared" ref="AE31:AE48" si="48">+BP5</f>
        <v>102</v>
      </c>
      <c r="AF31" s="59">
        <f t="shared" ref="AF31:AF48" si="49">+AE31/$AE$49</f>
        <v>8.2165297245045919E-3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300"/>
      <c r="AQ31" s="300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W31" s="122"/>
      <c r="BX31" s="122"/>
      <c r="BY31" s="122"/>
      <c r="BZ31" s="122"/>
      <c r="CA31" s="122"/>
      <c r="CB31" s="122"/>
      <c r="CC31" s="122"/>
      <c r="CR31" s="98"/>
      <c r="CU31" s="124"/>
      <c r="CV31" s="115"/>
      <c r="CW31" s="115"/>
      <c r="CX31" s="115"/>
    </row>
    <row r="32" spans="2:121" ht="14.65">
      <c r="B32" s="76" t="s">
        <v>14</v>
      </c>
      <c r="C32" s="77">
        <v>75</v>
      </c>
      <c r="D32" s="120">
        <v>0.49083769633507851</v>
      </c>
      <c r="E32" s="121">
        <v>63</v>
      </c>
      <c r="F32" s="120">
        <v>0.49980166600555337</v>
      </c>
      <c r="G32" s="121">
        <v>179</v>
      </c>
      <c r="H32" s="120">
        <v>1.1492039034411916</v>
      </c>
      <c r="I32" s="121">
        <v>0</v>
      </c>
      <c r="J32" s="86">
        <v>0</v>
      </c>
      <c r="K32" s="56">
        <v>501</v>
      </c>
      <c r="L32" s="125">
        <v>3.0093704949543488E-2</v>
      </c>
      <c r="M32" s="121">
        <f>534+62</f>
        <v>596</v>
      </c>
      <c r="N32" s="86">
        <f t="shared" si="39"/>
        <v>4.1308566675907959E-2</v>
      </c>
      <c r="O32" s="56">
        <f>27+100+46+169+39+174</f>
        <v>555</v>
      </c>
      <c r="P32" s="59">
        <f t="shared" si="40"/>
        <v>4.3033263549662713E-2</v>
      </c>
      <c r="Q32" s="56">
        <v>92</v>
      </c>
      <c r="R32" s="59">
        <f t="shared" si="41"/>
        <v>7.1334418857098552E-3</v>
      </c>
      <c r="S32" s="56">
        <v>274</v>
      </c>
      <c r="T32" s="59">
        <f t="shared" si="42"/>
        <v>3.2928734527100108E-2</v>
      </c>
      <c r="U32" s="56">
        <v>178</v>
      </c>
      <c r="V32" s="59">
        <f t="shared" si="43"/>
        <v>1.8541666666666668E-2</v>
      </c>
      <c r="W32" s="56">
        <v>383</v>
      </c>
      <c r="X32" s="59">
        <f t="shared" si="44"/>
        <v>3.2125482301627241E-2</v>
      </c>
      <c r="Y32" s="230">
        <v>254</v>
      </c>
      <c r="Z32" s="59">
        <f t="shared" si="45"/>
        <v>2.0932915773858578E-2</v>
      </c>
      <c r="AA32" s="60">
        <v>62</v>
      </c>
      <c r="AB32" s="59">
        <f t="shared" si="46"/>
        <v>4.5444550318844831E-3</v>
      </c>
      <c r="AC32" s="60">
        <v>910</v>
      </c>
      <c r="AD32" s="59">
        <f t="shared" si="47"/>
        <v>5.9793678953939153E-2</v>
      </c>
      <c r="AE32" s="60">
        <f t="shared" si="48"/>
        <v>0</v>
      </c>
      <c r="AF32" s="59">
        <f t="shared" si="49"/>
        <v>0</v>
      </c>
      <c r="AG32" s="60"/>
      <c r="AH32" s="60"/>
      <c r="AI32" s="60"/>
      <c r="AJ32" s="60"/>
      <c r="AK32" s="60"/>
      <c r="AL32" s="60"/>
      <c r="AM32" s="60"/>
      <c r="AN32" s="60"/>
      <c r="AO32" s="60"/>
      <c r="AP32" s="300"/>
      <c r="AQ32" s="300"/>
      <c r="BT32" s="67"/>
      <c r="CC32" s="67"/>
      <c r="CR32" s="98"/>
      <c r="CU32" s="124"/>
      <c r="CV32" s="115"/>
      <c r="CW32" s="115"/>
      <c r="CX32" s="115"/>
    </row>
    <row r="33" spans="2:104" ht="14.65">
      <c r="B33" s="76" t="s">
        <v>15</v>
      </c>
      <c r="C33" s="77">
        <v>0</v>
      </c>
      <c r="D33" s="120">
        <v>0</v>
      </c>
      <c r="E33" s="121">
        <v>24</v>
      </c>
      <c r="F33" s="120">
        <v>0.19040063466878224</v>
      </c>
      <c r="G33" s="121">
        <v>87</v>
      </c>
      <c r="H33" s="120">
        <v>0.55855161787365182</v>
      </c>
      <c r="I33" s="121">
        <v>37</v>
      </c>
      <c r="J33" s="86">
        <v>2.3355636914530993E-3</v>
      </c>
      <c r="K33" s="56">
        <v>13</v>
      </c>
      <c r="L33" s="125">
        <v>7.808745795290726E-4</v>
      </c>
      <c r="M33" s="121">
        <f>54+6+3</f>
        <v>63</v>
      </c>
      <c r="N33" s="86">
        <f t="shared" si="39"/>
        <v>4.3665095647352371E-3</v>
      </c>
      <c r="O33" s="56">
        <f>58+20+45+1+1</f>
        <v>125</v>
      </c>
      <c r="P33" s="59">
        <f t="shared" si="40"/>
        <v>9.6921764751492587E-3</v>
      </c>
      <c r="Q33" s="56">
        <v>127</v>
      </c>
      <c r="R33" s="59">
        <f t="shared" si="41"/>
        <v>9.847251298751648E-3</v>
      </c>
      <c r="S33" s="56">
        <v>166</v>
      </c>
      <c r="T33" s="59">
        <f t="shared" si="42"/>
        <v>1.9949525297440211E-2</v>
      </c>
      <c r="U33" s="56">
        <v>96</v>
      </c>
      <c r="V33" s="59">
        <f t="shared" si="43"/>
        <v>0.01</v>
      </c>
      <c r="W33" s="56">
        <v>127</v>
      </c>
      <c r="X33" s="59">
        <f t="shared" si="44"/>
        <v>1.0652575071296763E-2</v>
      </c>
      <c r="Y33" s="230">
        <v>150</v>
      </c>
      <c r="Z33" s="59">
        <f t="shared" si="45"/>
        <v>1.2361958134168452E-2</v>
      </c>
      <c r="AA33" s="60">
        <v>49</v>
      </c>
      <c r="AB33" s="59">
        <f t="shared" si="46"/>
        <v>3.5915854284248334E-3</v>
      </c>
      <c r="AC33" s="60">
        <v>8</v>
      </c>
      <c r="AD33" s="59">
        <f t="shared" si="47"/>
        <v>5.25658716078586E-4</v>
      </c>
      <c r="AE33" s="60">
        <f t="shared" si="48"/>
        <v>0</v>
      </c>
      <c r="AF33" s="59">
        <f t="shared" si="49"/>
        <v>0</v>
      </c>
      <c r="AG33" s="60"/>
      <c r="AH33" s="60"/>
      <c r="AI33" s="60"/>
      <c r="AJ33" s="60"/>
      <c r="AK33" s="60"/>
      <c r="AL33" s="60"/>
      <c r="AM33" s="60"/>
      <c r="AN33" s="60"/>
      <c r="AO33" s="60"/>
      <c r="AP33" s="300"/>
      <c r="AQ33" s="30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W33" s="121"/>
      <c r="BX33" s="121"/>
      <c r="BY33" s="121"/>
      <c r="BZ33" s="121"/>
      <c r="CA33" s="121"/>
      <c r="CB33" s="121"/>
      <c r="CC33" s="121"/>
      <c r="CR33" s="98"/>
      <c r="CU33" s="127"/>
      <c r="CV33" s="115"/>
      <c r="CW33" s="115"/>
      <c r="CX33" s="115"/>
    </row>
    <row r="34" spans="2:104" ht="14.65">
      <c r="B34" s="76" t="s">
        <v>4</v>
      </c>
      <c r="C34" s="77">
        <v>0</v>
      </c>
      <c r="D34" s="120">
        <v>0</v>
      </c>
      <c r="E34" s="121">
        <v>0</v>
      </c>
      <c r="F34" s="120">
        <v>0</v>
      </c>
      <c r="G34" s="121">
        <v>4</v>
      </c>
      <c r="H34" s="120">
        <v>2.5680534155110426E-2</v>
      </c>
      <c r="I34" s="121">
        <v>161</v>
      </c>
      <c r="J34" s="86">
        <v>1.0162858224971594E-2</v>
      </c>
      <c r="K34" s="56">
        <v>0</v>
      </c>
      <c r="L34" s="125">
        <v>0</v>
      </c>
      <c r="M34" s="121">
        <f>2+1</f>
        <v>3</v>
      </c>
      <c r="N34" s="86">
        <f t="shared" si="39"/>
        <v>2.0792902689215415E-4</v>
      </c>
      <c r="O34" s="56">
        <v>1</v>
      </c>
      <c r="P34" s="59">
        <f t="shared" si="40"/>
        <v>7.7537411801194069E-5</v>
      </c>
      <c r="Q34" s="56">
        <v>6</v>
      </c>
      <c r="R34" s="59">
        <f t="shared" si="41"/>
        <v>4.6522447080716444E-4</v>
      </c>
      <c r="S34" s="56">
        <v>0</v>
      </c>
      <c r="T34" s="59">
        <f t="shared" si="42"/>
        <v>0</v>
      </c>
      <c r="U34" s="56">
        <v>52</v>
      </c>
      <c r="V34" s="59">
        <f t="shared" si="43"/>
        <v>5.4166666666666669E-3</v>
      </c>
      <c r="W34" s="56">
        <v>12</v>
      </c>
      <c r="X34" s="59">
        <f t="shared" si="44"/>
        <v>1.0065425264217413E-3</v>
      </c>
      <c r="Y34" s="230">
        <v>0</v>
      </c>
      <c r="Z34" s="59">
        <f t="shared" si="45"/>
        <v>0</v>
      </c>
      <c r="AA34" s="60">
        <v>256</v>
      </c>
      <c r="AB34" s="59">
        <f t="shared" si="46"/>
        <v>1.876420142197464E-2</v>
      </c>
      <c r="AC34" s="60">
        <v>1</v>
      </c>
      <c r="AD34" s="59">
        <f t="shared" si="47"/>
        <v>6.5707339509823249E-5</v>
      </c>
      <c r="AE34" s="60">
        <f t="shared" si="48"/>
        <v>174</v>
      </c>
      <c r="AF34" s="59">
        <f t="shared" si="49"/>
        <v>1.401643305944901E-2</v>
      </c>
      <c r="AG34" s="60"/>
      <c r="AH34" s="60"/>
      <c r="AI34" s="60"/>
      <c r="AJ34" s="60"/>
      <c r="AK34" s="60"/>
      <c r="AL34" s="60"/>
      <c r="AM34" s="60"/>
      <c r="AN34" s="60"/>
      <c r="AO34" s="60"/>
      <c r="AP34" s="300"/>
      <c r="AQ34" s="300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W34" s="121"/>
      <c r="BX34" s="121"/>
      <c r="BY34" s="121"/>
      <c r="BZ34" s="121"/>
      <c r="CA34" s="121"/>
      <c r="CB34" s="121"/>
      <c r="CC34" s="121"/>
      <c r="CR34" s="98"/>
      <c r="CU34" s="127"/>
      <c r="CV34" s="115"/>
      <c r="CW34" s="115"/>
      <c r="CX34" s="115"/>
      <c r="CY34" s="128"/>
      <c r="CZ34" s="128"/>
    </row>
    <row r="35" spans="2:104" ht="14.65">
      <c r="B35" s="76" t="s">
        <v>8</v>
      </c>
      <c r="C35" s="77">
        <v>124</v>
      </c>
      <c r="D35" s="120">
        <v>0.81151832460732987</v>
      </c>
      <c r="E35" s="121">
        <v>50</v>
      </c>
      <c r="F35" s="120">
        <v>0.3966679888932963</v>
      </c>
      <c r="G35" s="121">
        <v>10</v>
      </c>
      <c r="H35" s="120">
        <v>6.420133538777606E-2</v>
      </c>
      <c r="I35" s="121">
        <v>9</v>
      </c>
      <c r="J35" s="86">
        <v>5.6811008711021339E-4</v>
      </c>
      <c r="K35" s="56">
        <v>33</v>
      </c>
      <c r="L35" s="125">
        <v>1.9822200864968763E-3</v>
      </c>
      <c r="M35" s="121">
        <v>81</v>
      </c>
      <c r="N35" s="86">
        <f t="shared" si="39"/>
        <v>5.6140837260881616E-3</v>
      </c>
      <c r="O35" s="56">
        <v>0</v>
      </c>
      <c r="P35" s="59">
        <f t="shared" si="40"/>
        <v>0</v>
      </c>
      <c r="Q35" s="56">
        <v>30</v>
      </c>
      <c r="R35" s="59">
        <f t="shared" si="41"/>
        <v>2.3261223540358223E-3</v>
      </c>
      <c r="S35" s="56">
        <v>27</v>
      </c>
      <c r="T35" s="59">
        <f t="shared" si="42"/>
        <v>3.2448023074149743E-3</v>
      </c>
      <c r="U35" s="56">
        <v>65</v>
      </c>
      <c r="V35" s="59">
        <f t="shared" si="43"/>
        <v>6.7708333333333336E-3</v>
      </c>
      <c r="W35" s="56">
        <v>107</v>
      </c>
      <c r="X35" s="59">
        <f t="shared" si="44"/>
        <v>8.9750041939271937E-3</v>
      </c>
      <c r="Y35" s="230">
        <v>25</v>
      </c>
      <c r="Z35" s="59">
        <f t="shared" si="45"/>
        <v>2.0603263556947422E-3</v>
      </c>
      <c r="AA35" s="60">
        <v>95</v>
      </c>
      <c r="AB35" s="59">
        <f t="shared" si="46"/>
        <v>6.9632778714359012E-3</v>
      </c>
      <c r="AC35" s="60">
        <v>92</v>
      </c>
      <c r="AD35" s="59">
        <f t="shared" si="47"/>
        <v>6.0450752349037384E-3</v>
      </c>
      <c r="AE35" s="60">
        <f t="shared" si="48"/>
        <v>36</v>
      </c>
      <c r="AF35" s="59">
        <f t="shared" si="49"/>
        <v>2.8999516674722086E-3</v>
      </c>
      <c r="AG35" s="60"/>
      <c r="AH35" s="60"/>
      <c r="AI35" s="60"/>
      <c r="AJ35" s="60"/>
      <c r="AK35" s="60"/>
      <c r="AL35" s="60"/>
      <c r="AM35" s="60"/>
      <c r="AN35" s="60"/>
      <c r="AO35" s="60"/>
      <c r="AP35" s="300"/>
      <c r="AQ35" s="30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73"/>
      <c r="BV35" s="73"/>
      <c r="BW35" s="121"/>
      <c r="BX35" s="121"/>
      <c r="BY35" s="121"/>
      <c r="BZ35" s="121"/>
      <c r="CA35" s="121"/>
      <c r="CB35" s="121"/>
      <c r="CC35" s="121"/>
      <c r="CD35" s="73"/>
      <c r="CE35" s="73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R35" s="98"/>
      <c r="CU35" s="127"/>
      <c r="CV35" s="115"/>
      <c r="CW35" s="115"/>
      <c r="CX35" s="115"/>
      <c r="CY35" s="129"/>
      <c r="CZ35" s="129"/>
    </row>
    <row r="36" spans="2:104" ht="14.65">
      <c r="B36" s="76" t="s">
        <v>1</v>
      </c>
      <c r="C36" s="77">
        <v>154</v>
      </c>
      <c r="D36" s="120">
        <v>1.0078534031413613</v>
      </c>
      <c r="E36" s="121">
        <v>7</v>
      </c>
      <c r="F36" s="120">
        <v>5.5533518445061485E-2</v>
      </c>
      <c r="G36" s="121">
        <v>121</v>
      </c>
      <c r="H36" s="120">
        <v>0.7768361581920904</v>
      </c>
      <c r="I36" s="121">
        <v>3</v>
      </c>
      <c r="J36" s="86">
        <v>1.8937002903673779E-4</v>
      </c>
      <c r="K36" s="56">
        <v>4</v>
      </c>
      <c r="L36" s="125">
        <v>2.402691013935608E-4</v>
      </c>
      <c r="M36" s="121">
        <v>19</v>
      </c>
      <c r="N36" s="86">
        <f t="shared" si="39"/>
        <v>1.316883836983643E-3</v>
      </c>
      <c r="O36" s="56">
        <f>1+1+1</f>
        <v>3</v>
      </c>
      <c r="P36" s="59">
        <f t="shared" si="40"/>
        <v>2.3261223540358222E-4</v>
      </c>
      <c r="Q36" s="56">
        <v>104</v>
      </c>
      <c r="R36" s="59">
        <f t="shared" si="41"/>
        <v>8.0638908273241838E-3</v>
      </c>
      <c r="S36" s="56">
        <v>89</v>
      </c>
      <c r="T36" s="59">
        <f t="shared" si="42"/>
        <v>1.0695829828145655E-2</v>
      </c>
      <c r="U36" s="56">
        <v>0</v>
      </c>
      <c r="V36" s="59">
        <f t="shared" si="43"/>
        <v>0</v>
      </c>
      <c r="W36" s="56">
        <v>275</v>
      </c>
      <c r="X36" s="59">
        <f t="shared" si="44"/>
        <v>2.3066599563831572E-2</v>
      </c>
      <c r="Y36" s="230">
        <v>10</v>
      </c>
      <c r="Z36" s="59">
        <f t="shared" si="45"/>
        <v>8.2413054227789681E-4</v>
      </c>
      <c r="AA36" s="60">
        <v>485</v>
      </c>
      <c r="AB36" s="59">
        <f t="shared" si="46"/>
        <v>3.5549365975225393E-2</v>
      </c>
      <c r="AC36" s="60">
        <v>60</v>
      </c>
      <c r="AD36" s="59">
        <f t="shared" si="47"/>
        <v>3.9424403705893944E-3</v>
      </c>
      <c r="AE36" s="60">
        <f t="shared" si="48"/>
        <v>676</v>
      </c>
      <c r="AF36" s="59">
        <f t="shared" si="49"/>
        <v>5.4454647978089257E-2</v>
      </c>
      <c r="AG36" s="60"/>
      <c r="AH36" s="60"/>
      <c r="AI36" s="60"/>
      <c r="AJ36" s="60"/>
      <c r="AK36" s="60"/>
      <c r="AL36" s="60"/>
      <c r="AM36" s="60"/>
      <c r="AN36" s="60"/>
      <c r="AO36" s="60"/>
      <c r="AP36" s="300"/>
      <c r="AQ36" s="300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3"/>
      <c r="BV36" s="123"/>
      <c r="BW36" s="121"/>
      <c r="BX36" s="121"/>
      <c r="BY36" s="121"/>
      <c r="BZ36" s="121"/>
      <c r="CA36" s="121"/>
      <c r="CB36" s="121"/>
      <c r="CC36" s="121"/>
      <c r="CD36" s="123"/>
      <c r="CE36" s="123"/>
      <c r="CR36" s="98"/>
      <c r="CU36" s="127"/>
      <c r="CV36" s="115"/>
      <c r="CW36" s="115"/>
      <c r="CX36" s="115"/>
      <c r="CY36" s="129"/>
      <c r="CZ36" s="129"/>
    </row>
    <row r="37" spans="2:104" ht="14.65">
      <c r="B37" s="76" t="s">
        <v>2</v>
      </c>
      <c r="C37" s="77">
        <v>1112</v>
      </c>
      <c r="D37" s="120">
        <v>7.2774869109947646</v>
      </c>
      <c r="E37" s="121">
        <v>1336</v>
      </c>
      <c r="F37" s="120">
        <v>10.598968663228877</v>
      </c>
      <c r="G37" s="121">
        <v>1040</v>
      </c>
      <c r="H37" s="120">
        <v>6.6769388803287111</v>
      </c>
      <c r="I37" s="121">
        <v>1373</v>
      </c>
      <c r="J37" s="86">
        <v>8.6668349955813656E-2</v>
      </c>
      <c r="K37" s="56">
        <v>2671</v>
      </c>
      <c r="L37" s="125">
        <v>0.1604396924555502</v>
      </c>
      <c r="M37" s="121">
        <f>830+111+18+14+9</f>
        <v>982</v>
      </c>
      <c r="N37" s="86">
        <f t="shared" si="39"/>
        <v>6.806210146936513E-2</v>
      </c>
      <c r="O37" s="56">
        <f>5+629+381+12+4+96+18+192+2+1+1</f>
        <v>1341</v>
      </c>
      <c r="P37" s="59">
        <f t="shared" si="40"/>
        <v>0.10397766922540126</v>
      </c>
      <c r="Q37" s="56">
        <v>2012</v>
      </c>
      <c r="R37" s="59">
        <f t="shared" si="41"/>
        <v>0.15600527254400248</v>
      </c>
      <c r="S37" s="56">
        <v>1345</v>
      </c>
      <c r="T37" s="59">
        <f>+S37/$S$49</f>
        <v>0.16163922605456074</v>
      </c>
      <c r="U37" s="56">
        <v>672</v>
      </c>
      <c r="V37" s="59">
        <f t="shared" si="43"/>
        <v>7.0000000000000007E-2</v>
      </c>
      <c r="W37" s="56">
        <f>1342+144+1</f>
        <v>1487</v>
      </c>
      <c r="X37" s="59">
        <f t="shared" si="44"/>
        <v>0.12472739473242744</v>
      </c>
      <c r="Y37" s="230">
        <v>1134</v>
      </c>
      <c r="Z37" s="59">
        <f t="shared" si="45"/>
        <v>9.34564034943135E-2</v>
      </c>
      <c r="AA37" s="60">
        <v>2619</v>
      </c>
      <c r="AB37" s="59">
        <f t="shared" si="46"/>
        <v>0.1919665762662171</v>
      </c>
      <c r="AC37" s="60">
        <v>711</v>
      </c>
      <c r="AD37" s="59">
        <f t="shared" si="47"/>
        <v>4.6717918391484328E-2</v>
      </c>
      <c r="AE37" s="60">
        <f t="shared" si="48"/>
        <v>22</v>
      </c>
      <c r="AF37" s="59">
        <f t="shared" si="49"/>
        <v>1.7721926856774609E-3</v>
      </c>
      <c r="AG37" s="60"/>
      <c r="AH37" s="60"/>
      <c r="AI37" s="60"/>
      <c r="AJ37" s="60"/>
      <c r="AK37" s="60"/>
      <c r="AL37" s="60"/>
      <c r="AM37" s="60"/>
      <c r="AN37" s="60"/>
      <c r="AO37" s="60"/>
      <c r="AP37" s="300"/>
      <c r="AQ37" s="300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7"/>
      <c r="BV37" s="127"/>
      <c r="BW37" s="121"/>
      <c r="BX37" s="121"/>
      <c r="BY37" s="121"/>
      <c r="BZ37" s="121"/>
      <c r="CA37" s="121"/>
      <c r="CB37" s="121"/>
      <c r="CC37" s="121"/>
      <c r="CD37" s="127"/>
      <c r="CE37" s="127"/>
      <c r="CR37" s="98"/>
      <c r="CU37" s="127"/>
      <c r="CV37" s="115"/>
      <c r="CW37" s="115"/>
      <c r="CX37" s="115"/>
      <c r="CY37" s="129"/>
      <c r="CZ37" s="129"/>
    </row>
    <row r="38" spans="2:104" ht="14.65">
      <c r="B38" s="76" t="s">
        <v>16</v>
      </c>
      <c r="C38" s="77">
        <v>1638</v>
      </c>
      <c r="D38" s="120">
        <v>10.719895287958115</v>
      </c>
      <c r="E38" s="121">
        <v>1130</v>
      </c>
      <c r="F38" s="120">
        <v>8.9646965489884973</v>
      </c>
      <c r="G38" s="121">
        <v>1581</v>
      </c>
      <c r="H38" s="120">
        <v>10.150231124807396</v>
      </c>
      <c r="I38" s="121">
        <v>867</v>
      </c>
      <c r="J38" s="86">
        <v>5.4727938391617222E-2</v>
      </c>
      <c r="K38" s="56">
        <v>1029</v>
      </c>
      <c r="L38" s="125">
        <v>6.1809226333493512E-2</v>
      </c>
      <c r="M38" s="121">
        <f>351+402+157+15</f>
        <v>925</v>
      </c>
      <c r="N38" s="86">
        <f t="shared" si="39"/>
        <v>6.4111449958414196E-2</v>
      </c>
      <c r="O38" s="56">
        <f>55+144+11+15+152+12+258+4</f>
        <v>651</v>
      </c>
      <c r="P38" s="59">
        <f t="shared" si="40"/>
        <v>5.0476855082577342E-2</v>
      </c>
      <c r="Q38" s="56">
        <v>874</v>
      </c>
      <c r="R38" s="59">
        <f t="shared" si="41"/>
        <v>6.7767697914243627E-2</v>
      </c>
      <c r="S38" s="56">
        <v>948</v>
      </c>
      <c r="T38" s="59">
        <f t="shared" si="42"/>
        <v>0.11392861434923687</v>
      </c>
      <c r="U38" s="56">
        <v>921</v>
      </c>
      <c r="V38" s="59">
        <f t="shared" si="43"/>
        <v>9.5937499999999995E-2</v>
      </c>
      <c r="W38" s="56">
        <v>1546</v>
      </c>
      <c r="X38" s="59">
        <f t="shared" si="44"/>
        <v>0.12967622882066768</v>
      </c>
      <c r="Y38" s="230">
        <v>1915</v>
      </c>
      <c r="Z38" s="59">
        <f t="shared" si="45"/>
        <v>0.15782099884621725</v>
      </c>
      <c r="AA38" s="60">
        <v>1380</v>
      </c>
      <c r="AB38" s="59">
        <f t="shared" si="46"/>
        <v>0.10115077329033204</v>
      </c>
      <c r="AC38" s="60">
        <v>1897</v>
      </c>
      <c r="AD38" s="59">
        <f t="shared" si="47"/>
        <v>0.12464682305013471</v>
      </c>
      <c r="AE38" s="60">
        <f t="shared" si="48"/>
        <v>5254</v>
      </c>
      <c r="AF38" s="59">
        <f t="shared" si="49"/>
        <v>0.4232318350249718</v>
      </c>
      <c r="AG38" s="60"/>
      <c r="AH38" s="60"/>
      <c r="AI38" s="60"/>
      <c r="AJ38" s="60"/>
      <c r="AK38" s="60"/>
      <c r="AL38" s="60"/>
      <c r="AM38" s="60"/>
      <c r="AN38" s="60"/>
      <c r="AO38" s="60"/>
      <c r="AP38" s="300"/>
      <c r="AQ38" s="300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7"/>
      <c r="BV38" s="127"/>
      <c r="BW38" s="121"/>
      <c r="BX38" s="121"/>
      <c r="BY38" s="121"/>
      <c r="BZ38" s="121"/>
      <c r="CA38" s="121"/>
      <c r="CB38" s="121"/>
      <c r="CC38" s="121"/>
      <c r="CD38" s="127"/>
      <c r="CE38" s="127"/>
      <c r="CR38" s="98"/>
      <c r="CU38" s="127"/>
      <c r="CV38" s="115"/>
      <c r="CW38" s="115"/>
      <c r="CX38" s="115"/>
      <c r="CY38" s="129"/>
      <c r="CZ38" s="129"/>
    </row>
    <row r="39" spans="2:104" ht="14.65">
      <c r="B39" s="76" t="s">
        <v>7</v>
      </c>
      <c r="C39" s="77">
        <v>912</v>
      </c>
      <c r="D39" s="120">
        <v>5.9685863874345548</v>
      </c>
      <c r="E39" s="121">
        <v>1001</v>
      </c>
      <c r="F39" s="120">
        <v>7.9412931376437923</v>
      </c>
      <c r="G39" s="121">
        <v>754</v>
      </c>
      <c r="H39" s="120">
        <v>4.8407806882383158</v>
      </c>
      <c r="I39" s="121">
        <v>1921</v>
      </c>
      <c r="J39" s="86">
        <v>0.12125994192652442</v>
      </c>
      <c r="K39" s="56">
        <v>1190</v>
      </c>
      <c r="L39" s="125">
        <v>7.1480057664584332E-2</v>
      </c>
      <c r="M39" s="121">
        <f>993+214+96+64+214</f>
        <v>1581</v>
      </c>
      <c r="N39" s="86">
        <f t="shared" si="39"/>
        <v>0.10957859717216524</v>
      </c>
      <c r="O39" s="56">
        <f>232+151+16+83+34+306+174+16</f>
        <v>1012</v>
      </c>
      <c r="P39" s="59">
        <f t="shared" si="40"/>
        <v>7.8467860742808399E-2</v>
      </c>
      <c r="Q39" s="56">
        <v>1144</v>
      </c>
      <c r="R39" s="59">
        <f t="shared" si="41"/>
        <v>8.8702799100566027E-2</v>
      </c>
      <c r="S39" s="56">
        <v>297</v>
      </c>
      <c r="T39" s="59">
        <f t="shared" si="42"/>
        <v>3.5692825381564715E-2</v>
      </c>
      <c r="U39" s="56">
        <v>1620</v>
      </c>
      <c r="V39" s="59">
        <f t="shared" si="43"/>
        <v>0.16875000000000001</v>
      </c>
      <c r="W39" s="56">
        <f>1592+370</f>
        <v>1962</v>
      </c>
      <c r="X39" s="59">
        <f t="shared" si="44"/>
        <v>0.16456970306995469</v>
      </c>
      <c r="Y39" s="230">
        <v>1475</v>
      </c>
      <c r="Z39" s="59">
        <f t="shared" si="45"/>
        <v>0.12155925498598978</v>
      </c>
      <c r="AA39" s="60">
        <v>911</v>
      </c>
      <c r="AB39" s="59">
        <f t="shared" si="46"/>
        <v>6.6774169903980066E-2</v>
      </c>
      <c r="AC39" s="60">
        <v>574</v>
      </c>
      <c r="AD39" s="59">
        <f t="shared" si="47"/>
        <v>3.7716012878638544E-2</v>
      </c>
      <c r="AE39" s="60">
        <f t="shared" si="48"/>
        <v>80</v>
      </c>
      <c r="AF39" s="59">
        <f t="shared" si="49"/>
        <v>6.4443370388271304E-3</v>
      </c>
      <c r="AG39" s="60"/>
      <c r="AH39" s="60"/>
      <c r="AI39" s="60"/>
      <c r="AJ39" s="60"/>
      <c r="AK39" s="60"/>
      <c r="AL39" s="60"/>
      <c r="AM39" s="60"/>
      <c r="AN39" s="60"/>
      <c r="AO39" s="60"/>
      <c r="AP39" s="300"/>
      <c r="AQ39" s="300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6"/>
      <c r="BV39" s="126"/>
      <c r="BW39" s="121"/>
      <c r="BX39" s="121"/>
      <c r="BY39" s="121"/>
      <c r="BZ39" s="121"/>
      <c r="CA39" s="121"/>
      <c r="CB39" s="121"/>
      <c r="CC39" s="121"/>
      <c r="CD39" s="126"/>
      <c r="CE39" s="126"/>
      <c r="CR39" s="98"/>
      <c r="CU39" s="127"/>
      <c r="CV39" s="115"/>
      <c r="CW39" s="115"/>
      <c r="CX39" s="115"/>
      <c r="CY39" s="129"/>
      <c r="CZ39" s="129"/>
    </row>
    <row r="40" spans="2:104" ht="14.65">
      <c r="B40" s="76" t="s">
        <v>3</v>
      </c>
      <c r="C40" s="77">
        <v>3909</v>
      </c>
      <c r="D40" s="120">
        <v>25.582460732984295</v>
      </c>
      <c r="E40" s="121">
        <v>3406</v>
      </c>
      <c r="F40" s="120">
        <v>27.021023403411345</v>
      </c>
      <c r="G40" s="121">
        <v>4498</v>
      </c>
      <c r="H40" s="120">
        <v>28.877760657421675</v>
      </c>
      <c r="I40" s="121">
        <v>4102</v>
      </c>
      <c r="J40" s="86">
        <v>0.25893195303623279</v>
      </c>
      <c r="K40" s="56">
        <v>3500</v>
      </c>
      <c r="L40" s="125">
        <v>0.21023546371936569</v>
      </c>
      <c r="M40" s="121">
        <f>2178+883+668+726+20+466</f>
        <v>4941</v>
      </c>
      <c r="N40" s="86">
        <f t="shared" si="39"/>
        <v>0.34245910729137785</v>
      </c>
      <c r="O40" s="56">
        <f>340+459+506+178+371+61+423+75+685+172+564</f>
        <v>3834</v>
      </c>
      <c r="P40" s="59">
        <f>+O40/$O$49</f>
        <v>0.29727843684577809</v>
      </c>
      <c r="Q40" s="56">
        <v>2094</v>
      </c>
      <c r="R40" s="59">
        <f t="shared" si="41"/>
        <v>0.16236334031170038</v>
      </c>
      <c r="S40" s="56">
        <v>1359</v>
      </c>
      <c r="T40" s="59">
        <f t="shared" si="42"/>
        <v>0.16332171613988702</v>
      </c>
      <c r="U40" s="56">
        <v>1084</v>
      </c>
      <c r="V40" s="59">
        <f t="shared" si="43"/>
        <v>0.11291666666666667</v>
      </c>
      <c r="W40" s="56">
        <f>1652+120</f>
        <v>1772</v>
      </c>
      <c r="X40" s="59">
        <f t="shared" si="44"/>
        <v>0.14863277973494379</v>
      </c>
      <c r="Y40" s="230">
        <v>990</v>
      </c>
      <c r="Z40" s="59">
        <f t="shared" si="45"/>
        <v>8.158892368551178E-2</v>
      </c>
      <c r="AA40" s="60">
        <v>3035</v>
      </c>
      <c r="AB40" s="59">
        <f t="shared" si="46"/>
        <v>0.22245840357692589</v>
      </c>
      <c r="AC40" s="60">
        <v>2016</v>
      </c>
      <c r="AD40" s="59">
        <f t="shared" si="47"/>
        <v>0.13246599645180368</v>
      </c>
      <c r="AE40" s="60">
        <f t="shared" si="48"/>
        <v>2343</v>
      </c>
      <c r="AF40" s="59">
        <f t="shared" si="49"/>
        <v>0.18873852102464958</v>
      </c>
      <c r="AG40" s="60"/>
      <c r="AH40" s="60"/>
      <c r="AI40" s="60"/>
      <c r="AJ40" s="60"/>
      <c r="AK40" s="60"/>
      <c r="AL40" s="60"/>
      <c r="AM40" s="60"/>
      <c r="AN40" s="60"/>
      <c r="AO40" s="60"/>
      <c r="AP40" s="300"/>
      <c r="AQ40" s="300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7"/>
      <c r="BV40" s="127"/>
      <c r="BW40" s="121"/>
      <c r="BX40" s="121"/>
      <c r="BY40" s="121"/>
      <c r="BZ40" s="121"/>
      <c r="CA40" s="121"/>
      <c r="CB40" s="121"/>
      <c r="CC40" s="121"/>
      <c r="CD40" s="127"/>
      <c r="CE40" s="127"/>
      <c r="CR40" s="98"/>
      <c r="CU40" s="127"/>
      <c r="CV40" s="115"/>
      <c r="CW40" s="115"/>
      <c r="CX40" s="115"/>
      <c r="CY40" s="129"/>
      <c r="CZ40" s="129"/>
    </row>
    <row r="41" spans="2:104" ht="14.65">
      <c r="B41" s="76" t="s">
        <v>17</v>
      </c>
      <c r="C41" s="77">
        <v>128</v>
      </c>
      <c r="D41" s="120">
        <v>0.83769633507853403</v>
      </c>
      <c r="E41" s="121">
        <v>265</v>
      </c>
      <c r="F41" s="120">
        <v>2.1023403411344703</v>
      </c>
      <c r="G41" s="121">
        <v>43</v>
      </c>
      <c r="H41" s="120">
        <v>0.27606574216743707</v>
      </c>
      <c r="I41" s="121">
        <v>89</v>
      </c>
      <c r="J41" s="86">
        <v>5.6179775280898875E-3</v>
      </c>
      <c r="K41" s="56">
        <v>581</v>
      </c>
      <c r="L41" s="125">
        <v>3.4899086977414707E-2</v>
      </c>
      <c r="M41" s="121">
        <f>299+31+26+8</f>
        <v>364</v>
      </c>
      <c r="N41" s="86">
        <f t="shared" si="39"/>
        <v>2.5228721929581369E-2</v>
      </c>
      <c r="O41" s="56">
        <f>15+16+15+40+12+100</f>
        <v>198</v>
      </c>
      <c r="P41" s="59">
        <f t="shared" si="40"/>
        <v>1.5352407536636426E-2</v>
      </c>
      <c r="Q41" s="56">
        <v>452</v>
      </c>
      <c r="R41" s="59">
        <f t="shared" si="41"/>
        <v>3.5046910134139721E-2</v>
      </c>
      <c r="S41" s="56">
        <v>252</v>
      </c>
      <c r="T41" s="59">
        <f t="shared" si="42"/>
        <v>3.0284821535873092E-2</v>
      </c>
      <c r="U41" s="56">
        <v>692</v>
      </c>
      <c r="V41" s="59">
        <f t="shared" si="43"/>
        <v>7.2083333333333333E-2</v>
      </c>
      <c r="W41" s="56">
        <v>239</v>
      </c>
      <c r="X41" s="59">
        <f t="shared" si="44"/>
        <v>2.0046971984566349E-2</v>
      </c>
      <c r="Y41" s="230">
        <v>627</v>
      </c>
      <c r="Z41" s="59">
        <f t="shared" si="45"/>
        <v>5.167298500082413E-2</v>
      </c>
      <c r="AA41" s="60">
        <v>394</v>
      </c>
      <c r="AB41" s="59">
        <f t="shared" si="46"/>
        <v>2.8879278751007844E-2</v>
      </c>
      <c r="AC41" s="60">
        <v>748</v>
      </c>
      <c r="AD41" s="59">
        <f t="shared" si="47"/>
        <v>4.914908995334779E-2</v>
      </c>
      <c r="AE41" s="60">
        <f t="shared" si="48"/>
        <v>66</v>
      </c>
      <c r="AF41" s="59">
        <f t="shared" si="49"/>
        <v>5.3165780570323829E-3</v>
      </c>
      <c r="AG41" s="60"/>
      <c r="AH41" s="60"/>
      <c r="AI41" s="60"/>
      <c r="AJ41" s="60"/>
      <c r="AK41" s="60"/>
      <c r="AL41" s="60"/>
      <c r="AM41" s="60"/>
      <c r="AN41" s="60"/>
      <c r="AO41" s="60"/>
      <c r="AP41" s="300"/>
      <c r="AQ41" s="300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7"/>
      <c r="BV41" s="127"/>
      <c r="BW41" s="121"/>
      <c r="BX41" s="121"/>
      <c r="BY41" s="121"/>
      <c r="BZ41" s="121"/>
      <c r="CA41" s="121"/>
      <c r="CB41" s="121"/>
      <c r="CC41" s="121"/>
      <c r="CD41" s="127"/>
      <c r="CE41" s="127"/>
      <c r="CR41" s="98"/>
      <c r="CU41" s="127"/>
      <c r="CV41" s="115"/>
      <c r="CW41" s="115"/>
      <c r="CX41" s="115"/>
      <c r="CY41" s="129"/>
      <c r="CZ41" s="129"/>
    </row>
    <row r="42" spans="2:104" ht="18" customHeight="1">
      <c r="B42" s="76" t="s">
        <v>18</v>
      </c>
      <c r="C42" s="77">
        <v>674</v>
      </c>
      <c r="D42" s="120">
        <v>4.4109947643979055</v>
      </c>
      <c r="E42" s="121">
        <v>285</v>
      </c>
      <c r="F42" s="120">
        <v>2.261007536691789</v>
      </c>
      <c r="G42" s="121">
        <v>277</v>
      </c>
      <c r="H42" s="120">
        <v>1.7783769902413971</v>
      </c>
      <c r="I42" s="121">
        <v>321</v>
      </c>
      <c r="J42" s="86">
        <v>2.0262593106930942E-2</v>
      </c>
      <c r="K42" s="56">
        <v>400</v>
      </c>
      <c r="L42" s="125">
        <v>2.4026910139356077E-2</v>
      </c>
      <c r="M42" s="121">
        <f>171+107+23</f>
        <v>301</v>
      </c>
      <c r="N42" s="86">
        <f t="shared" si="39"/>
        <v>2.0862212364846134E-2</v>
      </c>
      <c r="O42" s="56">
        <f>27+56+95+151+35+12+20+33</f>
        <v>429</v>
      </c>
      <c r="P42" s="59">
        <f t="shared" si="40"/>
        <v>3.3263549662712256E-2</v>
      </c>
      <c r="Q42" s="56">
        <v>1172</v>
      </c>
      <c r="R42" s="59">
        <f t="shared" si="41"/>
        <v>9.0873846630999455E-2</v>
      </c>
      <c r="S42" s="56">
        <v>179</v>
      </c>
      <c r="T42" s="59">
        <f t="shared" si="42"/>
        <v>2.1511837519528901E-2</v>
      </c>
      <c r="U42" s="56">
        <v>656</v>
      </c>
      <c r="V42" s="59">
        <f t="shared" si="43"/>
        <v>6.8333333333333329E-2</v>
      </c>
      <c r="W42" s="56">
        <v>701</v>
      </c>
      <c r="X42" s="59">
        <f t="shared" si="44"/>
        <v>5.8798859251803386E-2</v>
      </c>
      <c r="Y42" s="230">
        <v>944</v>
      </c>
      <c r="Z42" s="59">
        <f t="shared" si="45"/>
        <v>7.7797923191033458E-2</v>
      </c>
      <c r="AA42" s="60">
        <v>479</v>
      </c>
      <c r="AB42" s="59">
        <f t="shared" si="46"/>
        <v>3.5109580004397858E-2</v>
      </c>
      <c r="AC42" s="60">
        <v>716</v>
      </c>
      <c r="AD42" s="59">
        <f t="shared" si="47"/>
        <v>4.7046455089033448E-2</v>
      </c>
      <c r="AE42" s="60">
        <f t="shared" si="48"/>
        <v>356</v>
      </c>
      <c r="AF42" s="59">
        <f t="shared" si="49"/>
        <v>2.8677299822780732E-2</v>
      </c>
      <c r="AG42" s="60"/>
      <c r="AH42" s="60"/>
      <c r="AI42" s="60"/>
      <c r="AJ42" s="60"/>
      <c r="AK42" s="60"/>
      <c r="AL42" s="60"/>
      <c r="AM42" s="60"/>
      <c r="AN42" s="60"/>
      <c r="AO42" s="60"/>
      <c r="AP42" s="300"/>
      <c r="AQ42" s="300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7"/>
      <c r="BV42" s="127"/>
      <c r="BW42" s="121"/>
      <c r="BX42" s="121"/>
      <c r="BY42" s="121"/>
      <c r="BZ42" s="121"/>
      <c r="CA42" s="121"/>
      <c r="CB42" s="121"/>
      <c r="CC42" s="121"/>
      <c r="CD42" s="127"/>
      <c r="CE42" s="127"/>
      <c r="CR42" s="98"/>
      <c r="CU42" s="127"/>
      <c r="CV42" s="115"/>
      <c r="CW42" s="115"/>
      <c r="CX42" s="115"/>
    </row>
    <row r="43" spans="2:104" ht="14.65">
      <c r="B43" s="76" t="s">
        <v>19</v>
      </c>
      <c r="C43" s="77">
        <v>100</v>
      </c>
      <c r="D43" s="120">
        <v>0.65445026178010468</v>
      </c>
      <c r="E43" s="121">
        <v>13</v>
      </c>
      <c r="F43" s="120">
        <v>0.10313367711225704</v>
      </c>
      <c r="G43" s="121">
        <v>200</v>
      </c>
      <c r="H43" s="120">
        <v>1.2840267077555214</v>
      </c>
      <c r="I43" s="121">
        <v>0</v>
      </c>
      <c r="J43" s="86">
        <v>0</v>
      </c>
      <c r="K43" s="56">
        <v>24</v>
      </c>
      <c r="L43" s="125">
        <v>1.4416146083613647E-3</v>
      </c>
      <c r="M43" s="121">
        <f>146+17+7</f>
        <v>170</v>
      </c>
      <c r="N43" s="86">
        <f t="shared" si="39"/>
        <v>1.1782644857222068E-2</v>
      </c>
      <c r="O43" s="56">
        <v>1</v>
      </c>
      <c r="P43" s="59">
        <f t="shared" si="40"/>
        <v>7.7537411801194069E-5</v>
      </c>
      <c r="Q43" s="56">
        <v>145</v>
      </c>
      <c r="R43" s="59">
        <f t="shared" si="41"/>
        <v>1.1242924711173141E-2</v>
      </c>
      <c r="S43" s="56">
        <v>144</v>
      </c>
      <c r="T43" s="59">
        <f t="shared" si="42"/>
        <v>1.7305612306213195E-2</v>
      </c>
      <c r="U43" s="56">
        <v>228</v>
      </c>
      <c r="V43" s="59">
        <f t="shared" si="43"/>
        <v>2.375E-2</v>
      </c>
      <c r="W43" s="56">
        <v>339</v>
      </c>
      <c r="X43" s="59">
        <f t="shared" si="44"/>
        <v>2.8434826371414191E-2</v>
      </c>
      <c r="Y43" s="230">
        <v>549</v>
      </c>
      <c r="Z43" s="59">
        <f t="shared" si="45"/>
        <v>4.5244766771056537E-2</v>
      </c>
      <c r="AA43" s="60">
        <v>903</v>
      </c>
      <c r="AB43" s="59">
        <f t="shared" si="46"/>
        <v>6.6187788609543358E-2</v>
      </c>
      <c r="AC43" s="60">
        <v>326</v>
      </c>
      <c r="AD43" s="59">
        <f t="shared" si="47"/>
        <v>2.1420592680202379E-2</v>
      </c>
      <c r="AE43" s="60">
        <f t="shared" si="48"/>
        <v>198</v>
      </c>
      <c r="AF43" s="59">
        <f t="shared" si="49"/>
        <v>1.5949734171097147E-2</v>
      </c>
      <c r="AG43" s="60"/>
      <c r="AH43" s="60"/>
      <c r="AI43" s="60"/>
      <c r="AJ43" s="60"/>
      <c r="AK43" s="60"/>
      <c r="AL43" s="60"/>
      <c r="AM43" s="60"/>
      <c r="AN43" s="60"/>
      <c r="AO43" s="60"/>
      <c r="AP43" s="300"/>
      <c r="AQ43" s="300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7"/>
      <c r="BV43" s="127"/>
      <c r="BW43" s="121"/>
      <c r="BX43" s="121"/>
      <c r="BY43" s="121"/>
      <c r="BZ43" s="121"/>
      <c r="CA43" s="121"/>
      <c r="CB43" s="121"/>
      <c r="CC43" s="121"/>
      <c r="CD43" s="127"/>
      <c r="CE43" s="127"/>
      <c r="CR43" s="98"/>
      <c r="CU43" s="127"/>
      <c r="CV43" s="115"/>
      <c r="CW43" s="115"/>
      <c r="CX43" s="115"/>
    </row>
    <row r="44" spans="2:104" ht="14.65">
      <c r="B44" s="76" t="s">
        <v>20</v>
      </c>
      <c r="C44" s="77">
        <v>3</v>
      </c>
      <c r="D44" s="120">
        <v>1.9633507853403141E-2</v>
      </c>
      <c r="E44" s="121">
        <v>100</v>
      </c>
      <c r="F44" s="120">
        <v>0.79333597778659259</v>
      </c>
      <c r="G44" s="121">
        <v>40</v>
      </c>
      <c r="H44" s="120">
        <v>0.25680534155110424</v>
      </c>
      <c r="I44" s="121">
        <v>34</v>
      </c>
      <c r="J44" s="86">
        <v>2.1461936624163616E-3</v>
      </c>
      <c r="K44" s="56">
        <v>56</v>
      </c>
      <c r="L44" s="125">
        <v>3.363767419509851E-3</v>
      </c>
      <c r="M44" s="121">
        <f>25+49+198+80</f>
        <v>352</v>
      </c>
      <c r="N44" s="86">
        <f t="shared" si="39"/>
        <v>2.4397005822012752E-2</v>
      </c>
      <c r="O44" s="56">
        <v>8</v>
      </c>
      <c r="P44" s="59">
        <f t="shared" si="40"/>
        <v>6.2029929440955256E-4</v>
      </c>
      <c r="Q44" s="56">
        <v>239</v>
      </c>
      <c r="R44" s="59">
        <f t="shared" si="41"/>
        <v>1.8531441420485385E-2</v>
      </c>
      <c r="S44" s="56">
        <v>387</v>
      </c>
      <c r="T44" s="59">
        <f t="shared" si="42"/>
        <v>4.650883307294796E-2</v>
      </c>
      <c r="U44" s="56">
        <v>197</v>
      </c>
      <c r="V44" s="59">
        <f t="shared" si="43"/>
        <v>2.0520833333333332E-2</v>
      </c>
      <c r="W44" s="56">
        <f>147+69</f>
        <v>216</v>
      </c>
      <c r="X44" s="59">
        <f t="shared" si="44"/>
        <v>1.8117765475591345E-2</v>
      </c>
      <c r="Y44" s="230">
        <v>53</v>
      </c>
      <c r="Z44" s="59">
        <f t="shared" si="45"/>
        <v>4.3678918740728528E-3</v>
      </c>
      <c r="AA44" s="60">
        <v>203</v>
      </c>
      <c r="AB44" s="59">
        <f t="shared" si="46"/>
        <v>1.4879425346331451E-2</v>
      </c>
      <c r="AC44" s="60">
        <v>69</v>
      </c>
      <c r="AD44" s="59">
        <f t="shared" si="47"/>
        <v>4.5338064261778045E-3</v>
      </c>
      <c r="AE44" s="60">
        <f t="shared" si="48"/>
        <v>336</v>
      </c>
      <c r="AF44" s="59">
        <f t="shared" si="49"/>
        <v>2.706621556307395E-2</v>
      </c>
      <c r="AG44" s="60"/>
      <c r="AH44" s="60"/>
      <c r="AI44" s="60"/>
      <c r="AJ44" s="60"/>
      <c r="AK44" s="60"/>
      <c r="AL44" s="60"/>
      <c r="AM44" s="60"/>
      <c r="AN44" s="60"/>
      <c r="AO44" s="60"/>
      <c r="AP44" s="300"/>
      <c r="AQ44" s="300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7"/>
      <c r="BV44" s="127"/>
      <c r="BW44" s="121"/>
      <c r="BX44" s="121"/>
      <c r="BY44" s="121"/>
      <c r="BZ44" s="121"/>
      <c r="CA44" s="121"/>
      <c r="CB44" s="121"/>
      <c r="CC44" s="121"/>
      <c r="CD44" s="127"/>
      <c r="CE44" s="127"/>
      <c r="CR44" s="98"/>
      <c r="CU44" s="127"/>
      <c r="CV44" s="115"/>
      <c r="CW44" s="115"/>
      <c r="CX44" s="115"/>
    </row>
    <row r="45" spans="2:104" ht="15" customHeight="1">
      <c r="B45" s="76" t="s">
        <v>21</v>
      </c>
      <c r="C45" s="77">
        <v>160</v>
      </c>
      <c r="D45" s="120">
        <v>1.0471204188481675</v>
      </c>
      <c r="E45" s="121">
        <v>153</v>
      </c>
      <c r="F45" s="120">
        <v>1.2138040460134867</v>
      </c>
      <c r="G45" s="121">
        <v>211</v>
      </c>
      <c r="H45" s="120">
        <v>1.354648176682075</v>
      </c>
      <c r="I45" s="121">
        <v>145</v>
      </c>
      <c r="J45" s="86">
        <v>9.1528847367756596E-3</v>
      </c>
      <c r="K45" s="56">
        <v>279</v>
      </c>
      <c r="L45" s="125">
        <v>1.6758769822200866E-2</v>
      </c>
      <c r="M45" s="121">
        <f>166+55+42+47+22</f>
        <v>332</v>
      </c>
      <c r="N45" s="86">
        <f t="shared" si="39"/>
        <v>2.3010812309398391E-2</v>
      </c>
      <c r="O45" s="56">
        <f>58+18+92+36+12+48</f>
        <v>264</v>
      </c>
      <c r="P45" s="59">
        <f t="shared" si="40"/>
        <v>2.0469876715515235E-2</v>
      </c>
      <c r="Q45" s="56">
        <v>490</v>
      </c>
      <c r="R45" s="59">
        <f t="shared" si="41"/>
        <v>3.7993331782585099E-2</v>
      </c>
      <c r="S45" s="56">
        <v>257</v>
      </c>
      <c r="T45" s="59">
        <f t="shared" si="42"/>
        <v>3.088571085206105E-2</v>
      </c>
      <c r="U45" s="56">
        <v>174</v>
      </c>
      <c r="V45" s="59">
        <f t="shared" si="43"/>
        <v>1.8124999999999999E-2</v>
      </c>
      <c r="W45" s="56">
        <f>214+18</f>
        <v>232</v>
      </c>
      <c r="X45" s="59">
        <f t="shared" si="44"/>
        <v>1.9459822177486999E-2</v>
      </c>
      <c r="Y45" s="230">
        <v>431</v>
      </c>
      <c r="Z45" s="59">
        <f t="shared" si="45"/>
        <v>3.5520026372177355E-2</v>
      </c>
      <c r="AA45" s="60">
        <v>124</v>
      </c>
      <c r="AB45" s="59">
        <f t="shared" si="46"/>
        <v>9.0889100637689662E-3</v>
      </c>
      <c r="AC45" s="60">
        <v>746</v>
      </c>
      <c r="AD45" s="59">
        <f t="shared" si="47"/>
        <v>4.901767527432814E-2</v>
      </c>
      <c r="AE45" s="60">
        <f t="shared" si="48"/>
        <v>1581</v>
      </c>
      <c r="AF45" s="59">
        <f t="shared" si="49"/>
        <v>0.12735621072982117</v>
      </c>
      <c r="AG45" s="60"/>
      <c r="AH45" s="60"/>
      <c r="AI45" s="60"/>
      <c r="AJ45" s="60"/>
      <c r="AK45" s="60"/>
      <c r="AL45" s="60"/>
      <c r="AM45" s="60"/>
      <c r="AN45" s="60"/>
      <c r="AO45" s="60"/>
      <c r="AP45" s="300"/>
      <c r="AQ45" s="300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7"/>
      <c r="BV45" s="127"/>
      <c r="BW45" s="121"/>
      <c r="BX45" s="121"/>
      <c r="BY45" s="121"/>
      <c r="BZ45" s="121"/>
      <c r="CA45" s="121"/>
      <c r="CB45" s="121"/>
      <c r="CC45" s="121"/>
      <c r="CD45" s="127"/>
      <c r="CE45" s="127"/>
      <c r="CR45" s="98"/>
      <c r="CU45" s="127"/>
      <c r="CV45" s="115"/>
      <c r="CW45" s="115"/>
      <c r="CX45" s="115"/>
    </row>
    <row r="46" spans="2:104" ht="18.75" customHeight="1">
      <c r="B46" s="76" t="s">
        <v>22</v>
      </c>
      <c r="C46" s="77">
        <v>6</v>
      </c>
      <c r="D46" s="120">
        <v>3.9267015706806283E-2</v>
      </c>
      <c r="E46" s="121">
        <v>0</v>
      </c>
      <c r="F46" s="120">
        <v>0</v>
      </c>
      <c r="G46" s="121">
        <v>37</v>
      </c>
      <c r="H46" s="120">
        <v>0.23754494093477144</v>
      </c>
      <c r="I46" s="121">
        <v>0</v>
      </c>
      <c r="J46" s="86">
        <v>0</v>
      </c>
      <c r="K46" s="56">
        <v>82</v>
      </c>
      <c r="L46" s="125">
        <v>4.925516578567996E-3</v>
      </c>
      <c r="M46" s="121">
        <v>0</v>
      </c>
      <c r="N46" s="86">
        <f t="shared" si="39"/>
        <v>0</v>
      </c>
      <c r="O46" s="56">
        <v>20</v>
      </c>
      <c r="P46" s="59">
        <f t="shared" si="40"/>
        <v>1.5507482360238814E-3</v>
      </c>
      <c r="Q46" s="56">
        <v>0</v>
      </c>
      <c r="R46" s="59">
        <f t="shared" si="41"/>
        <v>0</v>
      </c>
      <c r="S46" s="56">
        <v>27</v>
      </c>
      <c r="T46" s="59">
        <f t="shared" si="42"/>
        <v>3.2448023074149743E-3</v>
      </c>
      <c r="U46" s="56">
        <v>0</v>
      </c>
      <c r="V46" s="59">
        <f t="shared" si="43"/>
        <v>0</v>
      </c>
      <c r="W46" s="56">
        <v>0</v>
      </c>
      <c r="X46" s="59">
        <f t="shared" si="44"/>
        <v>0</v>
      </c>
      <c r="Y46" s="230">
        <v>51</v>
      </c>
      <c r="Z46" s="59">
        <f t="shared" si="45"/>
        <v>4.2030657656172742E-3</v>
      </c>
      <c r="AA46" s="60">
        <v>22</v>
      </c>
      <c r="AB46" s="59">
        <f t="shared" si="46"/>
        <v>1.6125485597009456E-3</v>
      </c>
      <c r="AC46" s="60">
        <v>0</v>
      </c>
      <c r="AD46" s="59">
        <f t="shared" si="47"/>
        <v>0</v>
      </c>
      <c r="AE46" s="60">
        <f t="shared" si="48"/>
        <v>0</v>
      </c>
      <c r="AF46" s="59">
        <f t="shared" si="49"/>
        <v>0</v>
      </c>
      <c r="AG46" s="60"/>
      <c r="AH46" s="60"/>
      <c r="AI46" s="60"/>
      <c r="AJ46" s="60"/>
      <c r="AK46" s="60"/>
      <c r="AL46" s="60"/>
      <c r="AM46" s="60"/>
      <c r="AN46" s="60"/>
      <c r="AO46" s="60"/>
      <c r="AP46" s="300"/>
      <c r="AQ46" s="300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7"/>
      <c r="BV46" s="127"/>
      <c r="BW46" s="121"/>
      <c r="BX46" s="121"/>
      <c r="BY46" s="121"/>
      <c r="BZ46" s="121"/>
      <c r="CA46" s="121"/>
      <c r="CB46" s="121"/>
      <c r="CC46" s="121"/>
      <c r="CD46" s="127"/>
      <c r="CE46" s="127"/>
      <c r="CR46" s="98"/>
      <c r="CU46" s="127"/>
      <c r="CV46" s="115"/>
      <c r="CW46" s="115"/>
      <c r="CX46" s="115"/>
    </row>
    <row r="47" spans="2:104" ht="19.5" customHeight="1">
      <c r="B47" s="76" t="s">
        <v>23</v>
      </c>
      <c r="C47" s="77">
        <v>0</v>
      </c>
      <c r="D47" s="120">
        <v>0</v>
      </c>
      <c r="E47" s="121">
        <v>0</v>
      </c>
      <c r="F47" s="120">
        <v>0</v>
      </c>
      <c r="G47" s="121">
        <v>221</v>
      </c>
      <c r="H47" s="120">
        <v>1.418849512069851</v>
      </c>
      <c r="I47" s="121">
        <v>124</v>
      </c>
      <c r="J47" s="86">
        <v>7.8272945335184953E-3</v>
      </c>
      <c r="K47" s="56">
        <v>83</v>
      </c>
      <c r="L47" s="125">
        <v>4.9855838539163864E-3</v>
      </c>
      <c r="M47" s="121">
        <f>41+10+62</f>
        <v>113</v>
      </c>
      <c r="N47" s="86">
        <f t="shared" si="39"/>
        <v>7.8319933462711391E-3</v>
      </c>
      <c r="O47" s="56">
        <f>12+32+148+8+44</f>
        <v>244</v>
      </c>
      <c r="P47" s="59">
        <f t="shared" si="40"/>
        <v>1.8919128479491353E-2</v>
      </c>
      <c r="Q47" s="56">
        <v>248</v>
      </c>
      <c r="R47" s="59">
        <f t="shared" si="41"/>
        <v>1.9229278126696132E-2</v>
      </c>
      <c r="S47" s="56">
        <v>4</v>
      </c>
      <c r="T47" s="59">
        <f t="shared" si="42"/>
        <v>4.8071145295036654E-4</v>
      </c>
      <c r="U47" s="56">
        <v>234</v>
      </c>
      <c r="V47" s="59">
        <f t="shared" si="43"/>
        <v>2.4375000000000001E-2</v>
      </c>
      <c r="W47" s="56">
        <f>157+31</f>
        <v>188</v>
      </c>
      <c r="X47" s="59">
        <f t="shared" si="44"/>
        <v>1.5769166247273949E-2</v>
      </c>
      <c r="Y47" s="230">
        <v>661</v>
      </c>
      <c r="Z47" s="59">
        <f t="shared" si="45"/>
        <v>5.4475028844568979E-2</v>
      </c>
      <c r="AA47" s="60">
        <v>334</v>
      </c>
      <c r="AB47" s="59">
        <f t="shared" si="46"/>
        <v>2.4481419042732537E-2</v>
      </c>
      <c r="AC47" s="60">
        <v>120</v>
      </c>
      <c r="AD47" s="59">
        <f t="shared" si="47"/>
        <v>7.8848807411787888E-3</v>
      </c>
      <c r="AE47" s="60">
        <f t="shared" si="48"/>
        <v>12</v>
      </c>
      <c r="AF47" s="59">
        <f t="shared" si="49"/>
        <v>9.666505558240696E-4</v>
      </c>
      <c r="AG47" s="60"/>
      <c r="AH47" s="60"/>
      <c r="AI47" s="60"/>
      <c r="AJ47" s="60"/>
      <c r="AK47" s="60"/>
      <c r="AL47" s="60"/>
      <c r="AM47" s="60"/>
      <c r="AN47" s="60"/>
      <c r="AO47" s="60"/>
      <c r="AP47" s="300"/>
      <c r="AQ47" s="300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W47" s="66"/>
      <c r="BX47" s="66"/>
      <c r="BY47" s="66"/>
      <c r="BZ47" s="66"/>
      <c r="CA47" s="66"/>
      <c r="CB47" s="66"/>
      <c r="CR47" s="98"/>
      <c r="CU47" s="127"/>
      <c r="CV47" s="115"/>
      <c r="CW47" s="115"/>
      <c r="CX47" s="115"/>
    </row>
    <row r="48" spans="2:104" ht="14.25" customHeight="1">
      <c r="B48" s="76" t="s">
        <v>24</v>
      </c>
      <c r="C48" s="77">
        <v>0</v>
      </c>
      <c r="D48" s="120">
        <v>0</v>
      </c>
      <c r="E48" s="121">
        <v>22</v>
      </c>
      <c r="F48" s="120">
        <v>0.17453391511305039</v>
      </c>
      <c r="G48" s="121">
        <v>730</v>
      </c>
      <c r="H48" s="120">
        <v>4.6866974833076531</v>
      </c>
      <c r="I48" s="121">
        <v>79</v>
      </c>
      <c r="J48" s="86">
        <v>4.986744097967428E-3</v>
      </c>
      <c r="K48" s="56">
        <v>159</v>
      </c>
      <c r="L48" s="125">
        <v>9.5506967803940419E-3</v>
      </c>
      <c r="M48" s="121">
        <f>1+78</f>
        <v>79</v>
      </c>
      <c r="N48" s="86">
        <f t="shared" si="39"/>
        <v>5.4754643748267254E-3</v>
      </c>
      <c r="O48" s="56">
        <f>166+2+1</f>
        <v>169</v>
      </c>
      <c r="P48" s="59">
        <f t="shared" si="40"/>
        <v>1.31038225944018E-2</v>
      </c>
      <c r="Q48" s="56">
        <v>183</v>
      </c>
      <c r="R48" s="59">
        <f t="shared" si="41"/>
        <v>1.4189346359618516E-2</v>
      </c>
      <c r="S48" s="56">
        <v>11</v>
      </c>
      <c r="T48" s="59">
        <f t="shared" si="42"/>
        <v>1.3219564956135079E-3</v>
      </c>
      <c r="U48" s="56">
        <v>364</v>
      </c>
      <c r="V48" s="59">
        <f t="shared" si="43"/>
        <v>3.7916666666666668E-2</v>
      </c>
      <c r="W48" s="56">
        <v>11</v>
      </c>
      <c r="X48" s="59">
        <f t="shared" si="44"/>
        <v>9.2266398255326293E-4</v>
      </c>
      <c r="Y48" s="230">
        <v>98</v>
      </c>
      <c r="Z48" s="59">
        <f t="shared" si="45"/>
        <v>8.0764793143233895E-3</v>
      </c>
      <c r="AA48" s="60">
        <v>12</v>
      </c>
      <c r="AB48" s="59">
        <f t="shared" si="46"/>
        <v>8.7957194165506122E-4</v>
      </c>
      <c r="AC48" s="60">
        <v>39</v>
      </c>
      <c r="AD48" s="59">
        <f t="shared" si="47"/>
        <v>2.5625862408831068E-3</v>
      </c>
      <c r="AE48" s="60">
        <f t="shared" si="48"/>
        <v>634</v>
      </c>
      <c r="AF48" s="59">
        <f t="shared" si="49"/>
        <v>5.107137103270501E-2</v>
      </c>
      <c r="AG48" s="60"/>
      <c r="AH48" s="60"/>
      <c r="AI48" s="60"/>
      <c r="AJ48" s="60"/>
      <c r="AK48" s="60"/>
      <c r="AL48" s="60"/>
      <c r="AM48" s="60"/>
      <c r="AN48" s="60"/>
      <c r="AO48" s="60"/>
      <c r="AP48" s="300"/>
      <c r="AQ48" s="300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W48" s="66"/>
      <c r="BX48" s="66"/>
      <c r="BY48" s="66"/>
      <c r="BZ48" s="66"/>
      <c r="CA48" s="66"/>
      <c r="CB48" s="66"/>
      <c r="CR48" s="98"/>
      <c r="CU48" s="127"/>
      <c r="CV48" s="115"/>
      <c r="CW48" s="115"/>
      <c r="CX48" s="115"/>
    </row>
    <row r="49" spans="2:102" ht="14.65">
      <c r="B49" s="163" t="s">
        <v>9</v>
      </c>
      <c r="C49" s="163">
        <v>15280</v>
      </c>
      <c r="D49" s="164">
        <v>100.00000000000001</v>
      </c>
      <c r="E49" s="164">
        <v>12605</v>
      </c>
      <c r="F49" s="164">
        <v>100.00000000000001</v>
      </c>
      <c r="G49" s="164">
        <v>15576</v>
      </c>
      <c r="H49" s="164">
        <v>100</v>
      </c>
      <c r="I49" s="165">
        <v>15842</v>
      </c>
      <c r="J49" s="166">
        <v>0.99999999999999989</v>
      </c>
      <c r="K49" s="164">
        <v>16648</v>
      </c>
      <c r="L49" s="166">
        <v>1</v>
      </c>
      <c r="M49" s="164">
        <f>SUM(M30:M48)</f>
        <v>14428</v>
      </c>
      <c r="N49" s="166">
        <v>1</v>
      </c>
      <c r="O49" s="164">
        <f t="shared" ref="O49:T49" si="50">SUM(O30:O48)</f>
        <v>12897</v>
      </c>
      <c r="P49" s="166">
        <f t="shared" si="50"/>
        <v>1</v>
      </c>
      <c r="Q49" s="164">
        <f t="shared" si="50"/>
        <v>12897</v>
      </c>
      <c r="R49" s="166">
        <f t="shared" si="50"/>
        <v>1</v>
      </c>
      <c r="S49" s="164">
        <f t="shared" si="50"/>
        <v>8321</v>
      </c>
      <c r="T49" s="166">
        <f t="shared" si="50"/>
        <v>0.99999999999999989</v>
      </c>
      <c r="U49" s="164">
        <f t="shared" ref="U49:Z49" si="51">SUM(U30:U48)</f>
        <v>9600</v>
      </c>
      <c r="V49" s="166">
        <f t="shared" si="51"/>
        <v>1.0000000000000002</v>
      </c>
      <c r="W49" s="164">
        <f t="shared" si="51"/>
        <v>11922</v>
      </c>
      <c r="X49" s="166">
        <f t="shared" si="51"/>
        <v>1</v>
      </c>
      <c r="Y49" s="164">
        <f t="shared" si="51"/>
        <v>12134</v>
      </c>
      <c r="Z49" s="166">
        <f t="shared" si="51"/>
        <v>1</v>
      </c>
      <c r="AA49" s="240">
        <f t="shared" ref="AA49:AD49" si="52">SUM(AA30:AA48)</f>
        <v>13643</v>
      </c>
      <c r="AB49" s="166">
        <f t="shared" si="52"/>
        <v>1</v>
      </c>
      <c r="AC49" s="240">
        <f t="shared" si="52"/>
        <v>15219</v>
      </c>
      <c r="AD49" s="166">
        <f t="shared" si="52"/>
        <v>1</v>
      </c>
      <c r="AE49" s="240">
        <f t="shared" ref="AE49:AF49" si="53">SUM(AE30:AE48)</f>
        <v>12414</v>
      </c>
      <c r="AF49" s="166">
        <f t="shared" si="53"/>
        <v>1.0000000000000002</v>
      </c>
      <c r="AG49" s="98"/>
      <c r="AH49" s="98"/>
      <c r="AI49" s="101"/>
      <c r="AJ49" s="98"/>
      <c r="AK49" s="101"/>
      <c r="AL49" s="98"/>
      <c r="AM49" s="98"/>
      <c r="AO49" s="133"/>
      <c r="AP49" s="98"/>
      <c r="AQ49" s="98"/>
      <c r="CV49" s="93"/>
      <c r="CW49" s="93"/>
      <c r="CX49" s="93"/>
    </row>
    <row r="50" spans="2:102" s="136" customFormat="1" ht="15" customHeight="1">
      <c r="B50" s="416" t="s">
        <v>27</v>
      </c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131"/>
      <c r="P50" s="132"/>
      <c r="Q50" s="133"/>
      <c r="R50" s="103"/>
      <c r="S50" s="134"/>
      <c r="T50" s="133"/>
      <c r="U50" s="66"/>
      <c r="V50" s="134"/>
      <c r="W50" s="133"/>
      <c r="X50" s="135"/>
      <c r="Y50" s="134"/>
      <c r="Z50" s="134"/>
      <c r="AA50" s="241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W50" s="134"/>
      <c r="BX50" s="134"/>
      <c r="BY50" s="134"/>
      <c r="BZ50" s="134"/>
      <c r="CA50" s="134"/>
      <c r="CB50" s="134"/>
    </row>
    <row r="51" spans="2:102">
      <c r="C51" s="100"/>
      <c r="D51" s="100"/>
      <c r="E51" s="100"/>
      <c r="M51" s="121"/>
      <c r="N51" s="137"/>
      <c r="O51" s="137"/>
      <c r="P51" s="127"/>
      <c r="Q51" s="98"/>
      <c r="R51" s="98"/>
      <c r="S51" s="98"/>
      <c r="U51" s="66"/>
      <c r="W51" s="98"/>
      <c r="X51" s="126"/>
    </row>
    <row r="52" spans="2:102" ht="18" customHeight="1">
      <c r="B52" s="415" t="s">
        <v>123</v>
      </c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98"/>
      <c r="T52" s="98"/>
      <c r="U52" s="66"/>
    </row>
    <row r="53" spans="2:102" ht="17.25" customHeight="1">
      <c r="E53" s="411"/>
      <c r="F53" s="407"/>
      <c r="G53" s="414"/>
      <c r="H53" s="407"/>
      <c r="I53" s="407"/>
      <c r="J53" s="407"/>
      <c r="K53" s="407"/>
      <c r="L53" s="407"/>
      <c r="M53" s="411"/>
      <c r="N53" s="407"/>
      <c r="O53" s="138"/>
      <c r="P53" s="138"/>
      <c r="Q53" s="138"/>
      <c r="R53" s="138"/>
      <c r="T53" s="66"/>
      <c r="U53" s="66"/>
    </row>
    <row r="54" spans="2:102" ht="30" customHeight="1">
      <c r="B54" s="180"/>
      <c r="C54" s="181" t="s">
        <v>45</v>
      </c>
      <c r="D54" s="182" t="s">
        <v>41</v>
      </c>
      <c r="E54" s="412"/>
      <c r="F54" s="407"/>
      <c r="G54" s="414"/>
      <c r="H54" s="407"/>
      <c r="I54" s="413"/>
      <c r="J54" s="407"/>
      <c r="K54" s="413"/>
      <c r="L54" s="407"/>
      <c r="M54" s="412"/>
      <c r="N54" s="407"/>
      <c r="O54" s="138"/>
      <c r="P54" s="138"/>
      <c r="Q54" s="138"/>
      <c r="R54" s="138"/>
      <c r="T54" s="66"/>
      <c r="U54" s="66"/>
    </row>
    <row r="55" spans="2:102" ht="16.149999999999999">
      <c r="B55" s="203" t="s">
        <v>66</v>
      </c>
      <c r="C55" s="77">
        <f>+BU4+AE30</f>
        <v>1088</v>
      </c>
      <c r="D55" s="244">
        <f>+C55/$C$74</f>
        <v>4.3821491864024488E-2</v>
      </c>
      <c r="F55" s="120"/>
      <c r="G55" s="121"/>
      <c r="H55" s="120"/>
      <c r="I55" s="121"/>
      <c r="J55" s="139"/>
      <c r="K55" s="121"/>
      <c r="L55" s="139"/>
      <c r="M55" s="121"/>
      <c r="N55" s="120"/>
      <c r="O55" s="138"/>
      <c r="P55" s="138"/>
      <c r="Q55" s="138"/>
      <c r="R55" s="138"/>
      <c r="T55" s="66"/>
      <c r="U55" s="66"/>
    </row>
    <row r="56" spans="2:102" ht="16.149999999999999">
      <c r="B56" s="203" t="s">
        <v>67</v>
      </c>
      <c r="C56" s="77">
        <f t="shared" ref="C56:C73" si="54">+BU5+AE31</f>
        <v>204</v>
      </c>
      <c r="D56" s="79">
        <f>+C56/$C$74</f>
        <v>8.2165297245045919E-3</v>
      </c>
      <c r="E56" s="130">
        <f>+D65+D62+D61+D55</f>
        <v>0.28878685355244083</v>
      </c>
      <c r="F56" s="120"/>
      <c r="G56" s="121"/>
      <c r="H56" s="120"/>
      <c r="I56" s="121"/>
      <c r="J56" s="139"/>
      <c r="K56" s="121"/>
      <c r="L56" s="139"/>
      <c r="M56" s="121"/>
      <c r="N56" s="120"/>
      <c r="O56" s="138"/>
      <c r="P56" s="138"/>
      <c r="Q56" s="138"/>
      <c r="R56" s="138"/>
      <c r="T56" s="66"/>
      <c r="U56" s="66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</row>
    <row r="57" spans="2:102" ht="16.149999999999999">
      <c r="B57" s="203" t="s">
        <v>68</v>
      </c>
      <c r="C57" s="77">
        <f t="shared" si="54"/>
        <v>0</v>
      </c>
      <c r="D57" s="79">
        <f t="shared" ref="D57:D73" si="55">+C57/$C$74</f>
        <v>0</v>
      </c>
      <c r="E57" s="56">
        <f>+C65+C62+C61+C55</f>
        <v>7170</v>
      </c>
      <c r="F57" s="120"/>
      <c r="G57" s="121"/>
      <c r="H57" s="120"/>
      <c r="I57" s="121"/>
      <c r="J57" s="139"/>
      <c r="K57" s="121"/>
      <c r="L57" s="139"/>
      <c r="M57" s="121"/>
      <c r="N57" s="120"/>
      <c r="O57" s="138"/>
      <c r="P57" s="138"/>
      <c r="Q57" s="138"/>
      <c r="R57" s="138"/>
      <c r="S57" s="66"/>
      <c r="T57" s="66"/>
      <c r="U57" s="66"/>
      <c r="V57" s="66"/>
      <c r="W57" s="66"/>
      <c r="X57" s="66"/>
      <c r="Y57" s="66"/>
      <c r="Z57" s="66"/>
      <c r="AB57" s="66"/>
      <c r="AC57" s="66"/>
      <c r="AD57" s="66"/>
      <c r="AE57" s="66"/>
      <c r="AF57" s="66"/>
      <c r="AG57" s="66"/>
      <c r="AH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W57" s="66"/>
      <c r="BX57" s="66"/>
      <c r="BY57" s="66"/>
      <c r="BZ57" s="66"/>
      <c r="CA57" s="66"/>
      <c r="CB57" s="66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</row>
    <row r="58" spans="2:102" ht="16.149999999999999">
      <c r="B58" s="203" t="s">
        <v>69</v>
      </c>
      <c r="C58" s="77">
        <f t="shared" si="54"/>
        <v>0</v>
      </c>
      <c r="D58" s="79">
        <f t="shared" si="55"/>
        <v>0</v>
      </c>
      <c r="E58" s="121"/>
      <c r="F58" s="120"/>
      <c r="G58" s="121"/>
      <c r="H58" s="120"/>
      <c r="I58" s="121"/>
      <c r="J58" s="139"/>
      <c r="K58" s="121"/>
      <c r="L58" s="139"/>
      <c r="M58" s="121"/>
      <c r="N58" s="120"/>
      <c r="O58" s="138"/>
      <c r="P58" s="138"/>
      <c r="Q58" s="138"/>
      <c r="R58" s="138"/>
      <c r="S58" s="66"/>
      <c r="T58" s="66"/>
      <c r="U58" s="66"/>
      <c r="V58" s="66"/>
      <c r="W58" s="66"/>
      <c r="X58" s="66"/>
      <c r="Y58" s="66"/>
      <c r="Z58" s="66"/>
      <c r="AB58" s="66"/>
      <c r="AC58" s="66"/>
      <c r="AD58" s="66"/>
      <c r="AE58" s="66"/>
      <c r="AF58" s="66"/>
      <c r="AG58" s="66"/>
      <c r="AH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W58" s="66"/>
      <c r="BX58" s="66"/>
      <c r="BY58" s="66"/>
      <c r="BZ58" s="66"/>
      <c r="CA58" s="66"/>
      <c r="CB58" s="66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40"/>
      <c r="CR58" s="140"/>
    </row>
    <row r="59" spans="2:102" ht="16.149999999999999">
      <c r="B59" s="203" t="s">
        <v>70</v>
      </c>
      <c r="C59" s="77">
        <f t="shared" si="54"/>
        <v>348</v>
      </c>
      <c r="D59" s="79">
        <f t="shared" si="55"/>
        <v>1.401643305944901E-2</v>
      </c>
      <c r="E59" s="121"/>
      <c r="F59" s="120"/>
      <c r="G59" s="121"/>
      <c r="H59" s="120"/>
      <c r="I59" s="121"/>
      <c r="J59" s="139"/>
      <c r="K59" s="121"/>
      <c r="L59" s="139"/>
      <c r="M59" s="121"/>
      <c r="N59" s="120"/>
      <c r="O59" s="138"/>
      <c r="P59" s="138"/>
      <c r="Q59" s="138"/>
      <c r="R59" s="138"/>
      <c r="S59" s="66"/>
      <c r="T59" s="66"/>
      <c r="U59" s="66"/>
      <c r="V59" s="66"/>
      <c r="W59" s="66"/>
      <c r="X59" s="66"/>
      <c r="Y59" s="66"/>
      <c r="Z59" s="66"/>
      <c r="AB59" s="66"/>
      <c r="AC59" s="66"/>
      <c r="AD59" s="66"/>
      <c r="AE59" s="66"/>
      <c r="AF59" s="66"/>
      <c r="AG59" s="66"/>
      <c r="AH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W59" s="66"/>
      <c r="BX59" s="66"/>
      <c r="BY59" s="66"/>
      <c r="BZ59" s="66"/>
      <c r="CA59" s="66"/>
      <c r="CB59" s="66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40"/>
      <c r="CR59" s="140"/>
    </row>
    <row r="60" spans="2:102" ht="21" customHeight="1">
      <c r="B60" s="203" t="s">
        <v>71</v>
      </c>
      <c r="C60" s="77">
        <f t="shared" si="54"/>
        <v>72</v>
      </c>
      <c r="D60" s="79">
        <f t="shared" si="55"/>
        <v>2.8999516674722086E-3</v>
      </c>
      <c r="E60" s="121"/>
      <c r="F60" s="120"/>
      <c r="G60" s="121"/>
      <c r="H60" s="120"/>
      <c r="I60" s="121"/>
      <c r="J60" s="139"/>
      <c r="K60" s="121"/>
      <c r="L60" s="139"/>
      <c r="M60" s="121"/>
      <c r="N60" s="120"/>
      <c r="O60" s="138"/>
      <c r="P60" s="138"/>
      <c r="Q60" s="138"/>
      <c r="R60" s="68"/>
      <c r="S60" s="66"/>
      <c r="T60" s="66"/>
      <c r="U60" s="66"/>
      <c r="V60" s="66"/>
      <c r="W60" s="66"/>
      <c r="X60" s="66"/>
      <c r="Y60" s="66"/>
      <c r="Z60" s="66"/>
      <c r="AB60" s="66"/>
      <c r="AC60" s="66"/>
      <c r="AD60" s="66"/>
      <c r="AE60" s="66"/>
      <c r="AF60" s="66"/>
      <c r="AG60" s="66"/>
      <c r="AH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W60" s="66"/>
      <c r="BX60" s="66"/>
      <c r="BY60" s="66"/>
      <c r="BZ60" s="66"/>
      <c r="CA60" s="66"/>
      <c r="CB60" s="6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40"/>
      <c r="CR60" s="140"/>
    </row>
    <row r="61" spans="2:102" ht="16.149999999999999">
      <c r="B61" s="203" t="s">
        <v>72</v>
      </c>
      <c r="C61" s="77">
        <f t="shared" si="54"/>
        <v>1352</v>
      </c>
      <c r="D61" s="79">
        <f t="shared" si="55"/>
        <v>5.4454647978089257E-2</v>
      </c>
      <c r="E61" s="121"/>
      <c r="F61" s="120"/>
      <c r="G61" s="121"/>
      <c r="H61" s="120"/>
      <c r="I61" s="121"/>
      <c r="J61" s="139"/>
      <c r="K61" s="121"/>
      <c r="L61" s="139"/>
      <c r="M61" s="121"/>
      <c r="N61" s="120"/>
      <c r="O61" s="138"/>
      <c r="P61" s="138"/>
      <c r="Q61" s="138"/>
      <c r="R61" s="68"/>
      <c r="S61" s="66"/>
      <c r="T61" s="66"/>
      <c r="U61" s="66"/>
      <c r="V61" s="66"/>
      <c r="W61" s="66"/>
      <c r="X61" s="66"/>
      <c r="Y61" s="66"/>
      <c r="Z61" s="66"/>
      <c r="AB61" s="66"/>
      <c r="AC61" s="66"/>
      <c r="AD61" s="66"/>
      <c r="AE61" s="66"/>
      <c r="AF61" s="66"/>
      <c r="AG61" s="66"/>
      <c r="AH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W61" s="66"/>
      <c r="BX61" s="66"/>
      <c r="BY61" s="66"/>
      <c r="BZ61" s="66"/>
      <c r="CA61" s="66"/>
      <c r="CB61" s="66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40"/>
      <c r="CR61" s="140"/>
    </row>
    <row r="62" spans="2:102" ht="16.149999999999999">
      <c r="B62" s="203" t="s">
        <v>73</v>
      </c>
      <c r="C62" s="77">
        <f t="shared" si="54"/>
        <v>44</v>
      </c>
      <c r="D62" s="79">
        <f t="shared" si="55"/>
        <v>1.7721926856774609E-3</v>
      </c>
      <c r="E62" s="121"/>
      <c r="F62" s="120"/>
      <c r="G62" s="121"/>
      <c r="H62" s="120"/>
      <c r="I62" s="121"/>
      <c r="J62" s="139"/>
      <c r="K62" s="121"/>
      <c r="L62" s="139"/>
      <c r="M62" s="121"/>
      <c r="N62" s="120"/>
      <c r="O62" s="138"/>
      <c r="P62" s="138"/>
      <c r="Q62" s="138"/>
      <c r="R62" s="68"/>
      <c r="S62" s="66"/>
      <c r="T62" s="66"/>
      <c r="U62" s="66"/>
      <c r="V62" s="66"/>
      <c r="W62" s="66"/>
      <c r="X62" s="66"/>
      <c r="Y62" s="66"/>
      <c r="Z62" s="66"/>
      <c r="AB62" s="66"/>
      <c r="AC62" s="66"/>
      <c r="AD62" s="66"/>
      <c r="AE62" s="66"/>
      <c r="AF62" s="66"/>
      <c r="AG62" s="66"/>
      <c r="AH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W62" s="66"/>
      <c r="BX62" s="66"/>
      <c r="BY62" s="66"/>
      <c r="BZ62" s="66"/>
      <c r="CA62" s="66"/>
      <c r="CB62" s="66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40"/>
      <c r="CR62" s="140"/>
    </row>
    <row r="63" spans="2:102" ht="21.75" customHeight="1">
      <c r="B63" s="203" t="s">
        <v>74</v>
      </c>
      <c r="C63" s="77">
        <f t="shared" si="54"/>
        <v>10508</v>
      </c>
      <c r="D63" s="244">
        <f t="shared" si="55"/>
        <v>0.4232318350249718</v>
      </c>
      <c r="E63" s="121"/>
      <c r="F63" s="120"/>
      <c r="G63" s="121"/>
      <c r="H63" s="120"/>
      <c r="I63" s="121"/>
      <c r="J63" s="139"/>
      <c r="K63" s="121"/>
      <c r="L63" s="139"/>
      <c r="M63" s="121"/>
      <c r="N63" s="120"/>
      <c r="P63" s="141"/>
      <c r="Q63" s="142"/>
      <c r="R63" s="142"/>
      <c r="S63" s="141"/>
      <c r="V63" s="66"/>
      <c r="W63" s="66"/>
      <c r="X63" s="66"/>
      <c r="Y63" s="66"/>
      <c r="Z63" s="66"/>
      <c r="AB63" s="66"/>
      <c r="AC63" s="66"/>
      <c r="AD63" s="66"/>
      <c r="AE63" s="66"/>
      <c r="AF63" s="66"/>
      <c r="AG63" s="66"/>
      <c r="AH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W63" s="66"/>
      <c r="BX63" s="66"/>
      <c r="BY63" s="66"/>
      <c r="BZ63" s="66"/>
      <c r="CA63" s="66"/>
      <c r="CB63" s="66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40"/>
      <c r="CR63" s="140"/>
    </row>
    <row r="64" spans="2:102" ht="15">
      <c r="B64" s="203" t="s">
        <v>75</v>
      </c>
      <c r="C64" s="77">
        <f t="shared" si="54"/>
        <v>160</v>
      </c>
      <c r="D64" s="79">
        <f t="shared" si="55"/>
        <v>6.4443370388271304E-3</v>
      </c>
      <c r="E64" s="121"/>
      <c r="F64" s="120"/>
      <c r="G64" s="121"/>
      <c r="H64" s="120"/>
      <c r="I64" s="121"/>
      <c r="J64" s="139"/>
      <c r="K64" s="121"/>
      <c r="L64" s="139"/>
      <c r="M64" s="121"/>
      <c r="N64" s="120"/>
      <c r="P64" s="141"/>
      <c r="Q64" s="143"/>
      <c r="R64" s="143"/>
      <c r="S64" s="141"/>
      <c r="T64" s="83"/>
      <c r="U64" s="83"/>
      <c r="V64" s="66"/>
      <c r="W64" s="66"/>
      <c r="X64" s="66"/>
      <c r="Y64" s="66"/>
      <c r="Z64" s="66"/>
      <c r="AB64" s="66"/>
      <c r="AC64" s="66"/>
      <c r="AD64" s="66"/>
      <c r="AE64" s="66"/>
      <c r="AF64" s="66"/>
      <c r="AG64" s="66"/>
      <c r="AH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W64" s="66"/>
      <c r="BX64" s="66"/>
      <c r="BY64" s="66"/>
      <c r="BZ64" s="66"/>
      <c r="CA64" s="66"/>
      <c r="CB64" s="66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40"/>
      <c r="CR64" s="140"/>
    </row>
    <row r="65" spans="2:96" ht="15">
      <c r="B65" s="203" t="s">
        <v>76</v>
      </c>
      <c r="C65" s="77">
        <f t="shared" si="54"/>
        <v>4686</v>
      </c>
      <c r="D65" s="244">
        <f t="shared" si="55"/>
        <v>0.18873852102464958</v>
      </c>
      <c r="E65" s="121"/>
      <c r="F65" s="120"/>
      <c r="G65" s="121"/>
      <c r="H65" s="120"/>
      <c r="I65" s="121"/>
      <c r="J65" s="139"/>
      <c r="K65" s="121"/>
      <c r="L65" s="139"/>
      <c r="M65" s="121"/>
      <c r="N65" s="120"/>
      <c r="P65" s="141"/>
      <c r="Q65" s="143"/>
      <c r="R65" s="143"/>
      <c r="S65" s="144"/>
      <c r="T65" s="83"/>
      <c r="U65" s="83"/>
      <c r="V65" s="66"/>
      <c r="W65" s="66"/>
      <c r="X65" s="66"/>
      <c r="Y65" s="66"/>
      <c r="Z65" s="66"/>
      <c r="AB65" s="66"/>
      <c r="AC65" s="66"/>
      <c r="AD65" s="66"/>
      <c r="AE65" s="66"/>
      <c r="AF65" s="66"/>
      <c r="AG65" s="66"/>
      <c r="AH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W65" s="66"/>
      <c r="BX65" s="66"/>
      <c r="BY65" s="66"/>
      <c r="BZ65" s="66"/>
      <c r="CA65" s="66"/>
      <c r="CB65" s="66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40"/>
      <c r="CR65" s="140"/>
    </row>
    <row r="66" spans="2:96" ht="15">
      <c r="B66" s="203" t="s">
        <v>77</v>
      </c>
      <c r="C66" s="77">
        <f t="shared" si="54"/>
        <v>132</v>
      </c>
      <c r="D66" s="79">
        <f t="shared" si="55"/>
        <v>5.3165780570323829E-3</v>
      </c>
      <c r="E66" s="121"/>
      <c r="F66" s="120"/>
      <c r="G66" s="121"/>
      <c r="H66" s="120"/>
      <c r="I66" s="121"/>
      <c r="J66" s="139"/>
      <c r="K66" s="121"/>
      <c r="L66" s="139"/>
      <c r="M66" s="121"/>
      <c r="N66" s="120"/>
      <c r="P66" s="141"/>
      <c r="Q66" s="143"/>
      <c r="R66" s="143"/>
      <c r="S66" s="144"/>
      <c r="T66" s="83"/>
      <c r="U66" s="83"/>
      <c r="V66" s="66"/>
      <c r="W66" s="66"/>
      <c r="X66" s="66"/>
      <c r="Y66" s="66"/>
      <c r="Z66" s="66"/>
      <c r="AB66" s="66"/>
      <c r="AC66" s="66"/>
      <c r="AD66" s="66"/>
      <c r="AE66" s="66"/>
      <c r="AF66" s="66"/>
      <c r="AG66" s="66"/>
      <c r="AH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W66" s="66"/>
      <c r="BX66" s="66"/>
      <c r="BY66" s="66"/>
      <c r="BZ66" s="66"/>
      <c r="CA66" s="66"/>
      <c r="CB66" s="66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40"/>
      <c r="CR66" s="140"/>
    </row>
    <row r="67" spans="2:96" ht="15">
      <c r="B67" s="203" t="s">
        <v>78</v>
      </c>
      <c r="C67" s="77">
        <f t="shared" si="54"/>
        <v>712</v>
      </c>
      <c r="D67" s="79">
        <f t="shared" si="55"/>
        <v>2.8677299822780732E-2</v>
      </c>
      <c r="E67" s="121"/>
      <c r="F67" s="120"/>
      <c r="G67" s="121"/>
      <c r="H67" s="120"/>
      <c r="I67" s="121"/>
      <c r="J67" s="139"/>
      <c r="K67" s="121"/>
      <c r="L67" s="139"/>
      <c r="M67" s="121"/>
      <c r="N67" s="120"/>
      <c r="P67" s="141"/>
      <c r="Q67" s="143"/>
      <c r="R67" s="143"/>
      <c r="S67" s="144"/>
      <c r="T67" s="83"/>
      <c r="U67" s="83"/>
      <c r="V67" s="66"/>
      <c r="W67" s="66"/>
      <c r="X67" s="66"/>
      <c r="Y67" s="66"/>
      <c r="Z67" s="66"/>
      <c r="AB67" s="66"/>
      <c r="AC67" s="66"/>
      <c r="AD67" s="66"/>
      <c r="AE67" s="66"/>
      <c r="AF67" s="66"/>
      <c r="AG67" s="66"/>
      <c r="AH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W67" s="66"/>
      <c r="BX67" s="66"/>
      <c r="BY67" s="66"/>
      <c r="BZ67" s="66"/>
      <c r="CA67" s="66"/>
      <c r="CB67" s="66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40"/>
      <c r="CR67" s="140"/>
    </row>
    <row r="68" spans="2:96" ht="15">
      <c r="B68" s="203" t="s">
        <v>79</v>
      </c>
      <c r="C68" s="77">
        <f t="shared" si="54"/>
        <v>396</v>
      </c>
      <c r="D68" s="79">
        <f t="shared" si="55"/>
        <v>1.5949734171097147E-2</v>
      </c>
      <c r="E68" s="121"/>
      <c r="F68" s="120"/>
      <c r="G68" s="121"/>
      <c r="H68" s="120"/>
      <c r="I68" s="121"/>
      <c r="J68" s="139"/>
      <c r="K68" s="121"/>
      <c r="L68" s="139"/>
      <c r="M68" s="121"/>
      <c r="N68" s="120"/>
      <c r="P68" s="141"/>
      <c r="Q68" s="143"/>
      <c r="R68" s="143"/>
      <c r="S68" s="144"/>
      <c r="T68" s="83"/>
      <c r="U68" s="83"/>
      <c r="V68" s="126"/>
      <c r="W68" s="126"/>
      <c r="X68" s="126"/>
      <c r="Y68" s="126"/>
      <c r="Z68" s="126"/>
      <c r="AA68" s="242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7"/>
      <c r="BV68" s="127"/>
      <c r="BW68" s="121"/>
      <c r="BX68" s="121"/>
      <c r="BY68" s="121"/>
      <c r="BZ68" s="121"/>
      <c r="CA68" s="121"/>
      <c r="CB68" s="121"/>
      <c r="CC68" s="121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40"/>
      <c r="CR68" s="140"/>
    </row>
    <row r="69" spans="2:96" ht="15">
      <c r="B69" s="203" t="s">
        <v>80</v>
      </c>
      <c r="C69" s="77">
        <f t="shared" si="54"/>
        <v>672</v>
      </c>
      <c r="D69" s="79">
        <f t="shared" si="55"/>
        <v>2.706621556307395E-2</v>
      </c>
      <c r="E69" s="121"/>
      <c r="F69" s="120"/>
      <c r="G69" s="121"/>
      <c r="H69" s="120"/>
      <c r="I69" s="121"/>
      <c r="J69" s="139"/>
      <c r="K69" s="121"/>
      <c r="L69" s="139"/>
      <c r="M69" s="121"/>
      <c r="N69" s="120"/>
      <c r="P69" s="141"/>
      <c r="Q69" s="143"/>
      <c r="R69" s="143"/>
      <c r="S69" s="144"/>
      <c r="T69" s="83"/>
      <c r="U69" s="83"/>
      <c r="V69" s="126"/>
      <c r="W69" s="126"/>
      <c r="X69" s="126"/>
      <c r="Y69" s="126"/>
      <c r="Z69" s="126"/>
      <c r="AA69" s="242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7"/>
      <c r="BV69" s="127"/>
      <c r="BW69" s="121"/>
      <c r="BX69" s="121"/>
      <c r="BY69" s="121"/>
      <c r="BZ69" s="121"/>
      <c r="CA69" s="121"/>
      <c r="CB69" s="121"/>
      <c r="CC69" s="121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40"/>
      <c r="CR69" s="140"/>
    </row>
    <row r="70" spans="2:96" ht="22.5" customHeight="1">
      <c r="B70" s="203" t="s">
        <v>81</v>
      </c>
      <c r="C70" s="77">
        <f t="shared" si="54"/>
        <v>3162</v>
      </c>
      <c r="D70" s="79">
        <f t="shared" si="55"/>
        <v>0.12735621072982117</v>
      </c>
      <c r="E70" s="121"/>
      <c r="F70" s="120"/>
      <c r="G70" s="121"/>
      <c r="H70" s="120"/>
      <c r="I70" s="121"/>
      <c r="J70" s="139"/>
      <c r="K70" s="121"/>
      <c r="L70" s="139"/>
      <c r="M70" s="121"/>
      <c r="N70" s="120"/>
      <c r="P70" s="141"/>
      <c r="Q70" s="143"/>
      <c r="R70" s="143"/>
      <c r="S70" s="144"/>
      <c r="T70" s="83"/>
      <c r="U70" s="83"/>
      <c r="V70" s="126"/>
      <c r="W70" s="126"/>
      <c r="X70" s="126"/>
      <c r="Y70" s="126"/>
      <c r="Z70" s="126"/>
      <c r="AA70" s="242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7"/>
      <c r="BV70" s="127"/>
      <c r="BW70" s="121"/>
      <c r="BX70" s="121"/>
      <c r="BY70" s="121"/>
      <c r="BZ70" s="121"/>
      <c r="CA70" s="121"/>
      <c r="CB70" s="121"/>
      <c r="CC70" s="121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40"/>
      <c r="CR70" s="140"/>
    </row>
    <row r="71" spans="2:96" ht="18.600000000000001" hidden="1" customHeight="1">
      <c r="B71" s="203" t="s">
        <v>84</v>
      </c>
      <c r="C71" s="77">
        <f t="shared" si="54"/>
        <v>0</v>
      </c>
      <c r="D71" s="79">
        <f t="shared" si="55"/>
        <v>0</v>
      </c>
      <c r="E71" s="121"/>
      <c r="F71" s="120"/>
      <c r="G71" s="121"/>
      <c r="H71" s="120"/>
      <c r="I71" s="121"/>
      <c r="J71" s="139"/>
      <c r="K71" s="121"/>
      <c r="L71" s="139"/>
      <c r="M71" s="121"/>
      <c r="N71" s="120"/>
      <c r="P71" s="141"/>
      <c r="Q71" s="143"/>
      <c r="R71" s="143"/>
      <c r="S71" s="144"/>
      <c r="T71" s="83"/>
      <c r="U71" s="83"/>
      <c r="V71" s="126"/>
      <c r="W71" s="126"/>
      <c r="X71" s="126"/>
      <c r="Y71" s="126"/>
      <c r="Z71" s="126"/>
      <c r="AA71" s="73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1"/>
      <c r="BU71" s="127"/>
      <c r="BV71" s="127"/>
      <c r="BW71" s="122"/>
      <c r="BX71" s="122"/>
      <c r="BY71" s="122"/>
      <c r="BZ71" s="122"/>
      <c r="CA71" s="122"/>
      <c r="CB71" s="122"/>
      <c r="CC71" s="121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40"/>
      <c r="CR71" s="140"/>
    </row>
    <row r="72" spans="2:96" ht="15">
      <c r="B72" s="203" t="s">
        <v>82</v>
      </c>
      <c r="C72" s="77">
        <f t="shared" si="54"/>
        <v>24</v>
      </c>
      <c r="D72" s="79">
        <f t="shared" si="55"/>
        <v>9.666505558240696E-4</v>
      </c>
      <c r="E72" s="121"/>
      <c r="F72" s="120"/>
      <c r="G72" s="121"/>
      <c r="H72" s="120"/>
      <c r="I72" s="121"/>
      <c r="J72" s="139"/>
      <c r="K72" s="121"/>
      <c r="L72" s="139"/>
      <c r="M72" s="121"/>
      <c r="N72" s="120"/>
      <c r="P72" s="141"/>
      <c r="Q72" s="143"/>
      <c r="R72" s="143"/>
      <c r="S72" s="144"/>
      <c r="T72" s="83"/>
      <c r="U72" s="83"/>
      <c r="V72" s="126"/>
      <c r="W72" s="126"/>
      <c r="X72" s="126"/>
      <c r="Y72" s="126"/>
      <c r="Z72" s="126"/>
      <c r="AA72" s="242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21"/>
      <c r="BU72" s="127"/>
      <c r="BV72" s="127"/>
      <c r="BW72" s="145"/>
      <c r="BX72" s="145"/>
      <c r="BY72" s="145"/>
      <c r="BZ72" s="145"/>
      <c r="CA72" s="145"/>
      <c r="CB72" s="145"/>
      <c r="CC72" s="121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40"/>
      <c r="CR72" s="140"/>
    </row>
    <row r="73" spans="2:96" ht="15">
      <c r="B73" s="203" t="s">
        <v>83</v>
      </c>
      <c r="C73" s="77">
        <f t="shared" si="54"/>
        <v>1268</v>
      </c>
      <c r="D73" s="79">
        <f t="shared" si="55"/>
        <v>5.107137103270501E-2</v>
      </c>
      <c r="E73" s="121"/>
      <c r="F73" s="120"/>
      <c r="G73" s="121"/>
      <c r="H73" s="120"/>
      <c r="I73" s="121"/>
      <c r="J73" s="139"/>
      <c r="K73" s="121"/>
      <c r="L73" s="139"/>
      <c r="M73" s="121"/>
      <c r="N73" s="120"/>
      <c r="P73" s="146"/>
      <c r="Q73" s="147"/>
      <c r="R73" s="147"/>
      <c r="S73" s="144"/>
      <c r="T73" s="83"/>
      <c r="U73" s="83"/>
      <c r="V73" s="126"/>
      <c r="W73" s="126"/>
      <c r="X73" s="126"/>
      <c r="Y73" s="126"/>
      <c r="Z73" s="126"/>
      <c r="AA73" s="242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56"/>
      <c r="BU73" s="127"/>
      <c r="BV73" s="127"/>
      <c r="BW73" s="145"/>
      <c r="BX73" s="145"/>
      <c r="BY73" s="145"/>
      <c r="BZ73" s="145"/>
      <c r="CA73" s="145"/>
      <c r="CB73" s="145"/>
      <c r="CC73" s="56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40"/>
      <c r="CR73" s="140"/>
    </row>
    <row r="74" spans="2:96" ht="15.4">
      <c r="B74" s="148">
        <v>2022</v>
      </c>
      <c r="C74" s="149">
        <f>SUM(C55:C73)</f>
        <v>24828</v>
      </c>
      <c r="D74" s="150">
        <f>SUM(D55:D73)</f>
        <v>1.0000000000000002</v>
      </c>
      <c r="E74" s="151"/>
      <c r="F74" s="152"/>
      <c r="G74" s="151"/>
      <c r="H74" s="152"/>
      <c r="I74" s="151"/>
      <c r="J74" s="152"/>
      <c r="K74" s="151"/>
      <c r="L74" s="152"/>
      <c r="M74" s="151"/>
      <c r="N74" s="152"/>
      <c r="U74" s="126"/>
      <c r="V74" s="126"/>
      <c r="W74" s="126"/>
      <c r="X74" s="126"/>
      <c r="Y74" s="126"/>
      <c r="Z74" s="126"/>
      <c r="AA74" s="242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27"/>
      <c r="BU74" s="127"/>
      <c r="BV74" s="127"/>
      <c r="BW74" s="145"/>
      <c r="BX74" s="145"/>
      <c r="BY74" s="145"/>
      <c r="BZ74" s="145"/>
      <c r="CA74" s="145"/>
      <c r="CB74" s="145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40"/>
      <c r="CR74" s="140"/>
    </row>
    <row r="75" spans="2:96" ht="14.65">
      <c r="B75" s="76"/>
      <c r="E75" s="100"/>
      <c r="G75" s="153"/>
      <c r="H75" s="140"/>
      <c r="I75" s="140"/>
      <c r="M75" s="154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242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27"/>
      <c r="BU75" s="127"/>
      <c r="BV75" s="127"/>
      <c r="BW75" s="145"/>
      <c r="BX75" s="145"/>
      <c r="BY75" s="145"/>
      <c r="BZ75" s="145"/>
      <c r="CA75" s="145"/>
      <c r="CB75" s="145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40"/>
      <c r="CR75" s="140"/>
    </row>
    <row r="76" spans="2:96">
      <c r="C76" s="100"/>
      <c r="G76" s="100"/>
      <c r="M76" s="154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242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27"/>
      <c r="BU76" s="127"/>
      <c r="BV76" s="127"/>
      <c r="BW76" s="145"/>
      <c r="BX76" s="145"/>
      <c r="BY76" s="145"/>
      <c r="BZ76" s="145"/>
      <c r="CA76" s="145"/>
      <c r="CB76" s="145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40"/>
      <c r="CR76" s="140"/>
    </row>
    <row r="77" spans="2:96" ht="14.65">
      <c r="B77" s="155" t="s">
        <v>55</v>
      </c>
      <c r="C77" s="155" t="s">
        <v>56</v>
      </c>
      <c r="D77" s="156" t="s">
        <v>11</v>
      </c>
    </row>
    <row r="78" spans="2:96" ht="14.65">
      <c r="B78" s="157" t="s">
        <v>53</v>
      </c>
      <c r="C78" s="227">
        <f>+AE49</f>
        <v>12414</v>
      </c>
      <c r="D78" s="156">
        <f>+C78/$C$81</f>
        <v>0.5</v>
      </c>
    </row>
    <row r="79" spans="2:96" ht="14.65">
      <c r="B79" s="157" t="s">
        <v>62</v>
      </c>
      <c r="C79" s="226">
        <f>+BO23</f>
        <v>6008</v>
      </c>
      <c r="D79" s="156">
        <f>+C79/$C$81</f>
        <v>0.24198485580795875</v>
      </c>
    </row>
    <row r="80" spans="2:96" ht="14.65">
      <c r="B80" s="157" t="s">
        <v>63</v>
      </c>
      <c r="C80" s="226">
        <f>+BN23</f>
        <v>6406</v>
      </c>
      <c r="D80" s="156">
        <f>+C80/$C$81</f>
        <v>0.25801514419204125</v>
      </c>
      <c r="E80" s="100"/>
    </row>
    <row r="81" spans="2:5" ht="14.65">
      <c r="B81" s="157" t="s">
        <v>10</v>
      </c>
      <c r="C81" s="158">
        <f>SUM(C78:C80)</f>
        <v>24828</v>
      </c>
      <c r="D81" s="159">
        <f>SUM(D78:D80)</f>
        <v>1</v>
      </c>
      <c r="E81" s="212">
        <f>+E80/C81</f>
        <v>0</v>
      </c>
    </row>
  </sheetData>
  <sortState xmlns:xlrd2="http://schemas.microsoft.com/office/spreadsheetml/2017/richdata2" ref="B55:D73">
    <sortCondition descending="1" ref="C55:C73"/>
  </sortState>
  <mergeCells count="82">
    <mergeCell ref="AF28:AF29"/>
    <mergeCell ref="BI2:BM2"/>
    <mergeCell ref="AI2:AL2"/>
    <mergeCell ref="AM2:AM3"/>
    <mergeCell ref="AN2:AN3"/>
    <mergeCell ref="AH2:AH3"/>
    <mergeCell ref="DM1:DP1"/>
    <mergeCell ref="B1:AH1"/>
    <mergeCell ref="D28:D29"/>
    <mergeCell ref="M28:M29"/>
    <mergeCell ref="B24:N24"/>
    <mergeCell ref="E2:F2"/>
    <mergeCell ref="G2:H2"/>
    <mergeCell ref="I2:J2"/>
    <mergeCell ref="C2:D2"/>
    <mergeCell ref="C28:C29"/>
    <mergeCell ref="B2:B3"/>
    <mergeCell ref="O2:P2"/>
    <mergeCell ref="K2:L2"/>
    <mergeCell ref="M2:N2"/>
    <mergeCell ref="DO2:DP2"/>
    <mergeCell ref="DI2:DL2"/>
    <mergeCell ref="B26:P26"/>
    <mergeCell ref="B27:P27"/>
    <mergeCell ref="DE2:DG2"/>
    <mergeCell ref="BU2:BV2"/>
    <mergeCell ref="DC2:DD2"/>
    <mergeCell ref="AO2:AR2"/>
    <mergeCell ref="BE2:BH2"/>
    <mergeCell ref="AW2:AZ2"/>
    <mergeCell ref="BA2:BD2"/>
    <mergeCell ref="BW2:CA2"/>
    <mergeCell ref="CD2:CE2"/>
    <mergeCell ref="BN2:BR2"/>
    <mergeCell ref="CV27:CW27"/>
    <mergeCell ref="AG2:AG3"/>
    <mergeCell ref="AS2:AV2"/>
    <mergeCell ref="AA28:AA29"/>
    <mergeCell ref="AC28:AC29"/>
    <mergeCell ref="AD28:AD29"/>
    <mergeCell ref="W2:Z2"/>
    <mergeCell ref="Q2:R2"/>
    <mergeCell ref="S2:V2"/>
    <mergeCell ref="W28:W29"/>
    <mergeCell ref="X28:X29"/>
    <mergeCell ref="AB28:AB29"/>
    <mergeCell ref="AA2:AB3"/>
    <mergeCell ref="AC2:AF2"/>
    <mergeCell ref="Y28:Y29"/>
    <mergeCell ref="Z28:Z29"/>
    <mergeCell ref="U28:U29"/>
    <mergeCell ref="V28:V29"/>
    <mergeCell ref="AE28:AE29"/>
    <mergeCell ref="B28:B29"/>
    <mergeCell ref="S28:S29"/>
    <mergeCell ref="T28:T29"/>
    <mergeCell ref="P28:P29"/>
    <mergeCell ref="K28:K29"/>
    <mergeCell ref="L28:L29"/>
    <mergeCell ref="N28:N29"/>
    <mergeCell ref="E28:E29"/>
    <mergeCell ref="F28:F29"/>
    <mergeCell ref="Q28:Q29"/>
    <mergeCell ref="H28:H29"/>
    <mergeCell ref="I28:I29"/>
    <mergeCell ref="R28:R29"/>
    <mergeCell ref="CU28:CU29"/>
    <mergeCell ref="J28:J29"/>
    <mergeCell ref="O28:O29"/>
    <mergeCell ref="G28:G29"/>
    <mergeCell ref="E53:E54"/>
    <mergeCell ref="N53:N54"/>
    <mergeCell ref="H53:H54"/>
    <mergeCell ref="I53:I54"/>
    <mergeCell ref="J53:J54"/>
    <mergeCell ref="K53:K54"/>
    <mergeCell ref="L53:L54"/>
    <mergeCell ref="M53:M54"/>
    <mergeCell ref="F53:F54"/>
    <mergeCell ref="G53:G54"/>
    <mergeCell ref="B52:R52"/>
    <mergeCell ref="B50:N50"/>
  </mergeCells>
  <pageMargins left="0.7" right="0.7" top="0.75" bottom="0.75" header="0.3" footer="0.3"/>
  <pageSetup orientation="landscape" r:id="rId1"/>
  <ignoredErrors>
    <ignoredError sqref="Q49 S49 U49 Y49 AA4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786D-737C-4AC6-8157-B3CC3A1C3D14}">
  <dimension ref="A1:N22"/>
  <sheetViews>
    <sheetView topLeftCell="A54" workbookViewId="0">
      <selection activeCell="K1" sqref="K1:N1"/>
    </sheetView>
  </sheetViews>
  <sheetFormatPr baseColWidth="10" defaultRowHeight="14.25"/>
  <cols>
    <col min="3" max="3" width="6.265625" bestFit="1" customWidth="1"/>
  </cols>
  <sheetData>
    <row r="1" spans="1:14">
      <c r="A1" s="436"/>
      <c r="B1" s="437"/>
      <c r="C1" s="432">
        <v>45627</v>
      </c>
      <c r="D1" s="433"/>
      <c r="E1" s="433"/>
      <c r="F1" s="434"/>
      <c r="G1" s="432">
        <v>45992</v>
      </c>
      <c r="H1" s="433"/>
      <c r="I1" s="433"/>
      <c r="J1" s="434"/>
      <c r="K1" s="438" t="s">
        <v>124</v>
      </c>
      <c r="L1" s="439"/>
      <c r="M1" s="439"/>
      <c r="N1" s="440"/>
    </row>
    <row r="2" spans="1:14">
      <c r="A2" s="256" t="s">
        <v>92</v>
      </c>
      <c r="B2" s="256" t="s">
        <v>0</v>
      </c>
      <c r="C2" s="253" t="s">
        <v>5</v>
      </c>
      <c r="D2" s="253" t="s">
        <v>6</v>
      </c>
      <c r="E2" s="253" t="s">
        <v>101</v>
      </c>
      <c r="F2" s="253" t="s">
        <v>91</v>
      </c>
      <c r="G2" s="253" t="s">
        <v>5</v>
      </c>
      <c r="H2" s="253" t="s">
        <v>6</v>
      </c>
      <c r="I2" s="253" t="s">
        <v>101</v>
      </c>
      <c r="J2" s="253" t="s">
        <v>91</v>
      </c>
      <c r="K2" s="253" t="s">
        <v>5</v>
      </c>
      <c r="L2" s="253" t="s">
        <v>6</v>
      </c>
      <c r="M2" s="253" t="s">
        <v>101</v>
      </c>
      <c r="N2" s="253" t="s">
        <v>91</v>
      </c>
    </row>
    <row r="3" spans="1:14" ht="14.65">
      <c r="A3" s="247">
        <v>1</v>
      </c>
      <c r="B3" s="254" t="s">
        <v>12</v>
      </c>
      <c r="C3" s="301">
        <v>11</v>
      </c>
      <c r="D3" s="277">
        <v>87</v>
      </c>
      <c r="E3" s="255">
        <f>+C3+D3</f>
        <v>98</v>
      </c>
      <c r="F3" s="277">
        <v>1796</v>
      </c>
      <c r="G3" s="301">
        <v>15</v>
      </c>
      <c r="H3" s="277">
        <v>1281</v>
      </c>
      <c r="I3" s="255">
        <f>+G3+H3</f>
        <v>1296</v>
      </c>
      <c r="J3" s="277">
        <v>5254</v>
      </c>
      <c r="K3" s="301">
        <v>0</v>
      </c>
      <c r="L3" s="301">
        <v>498</v>
      </c>
      <c r="M3" s="255">
        <f>+K3+L3</f>
        <v>498</v>
      </c>
      <c r="N3" s="277">
        <v>114</v>
      </c>
    </row>
    <row r="4" spans="1:14" ht="14.65">
      <c r="A4" s="247">
        <v>2</v>
      </c>
      <c r="B4" s="254" t="s">
        <v>13</v>
      </c>
      <c r="C4" s="301">
        <v>2</v>
      </c>
      <c r="D4" s="277">
        <v>0</v>
      </c>
      <c r="E4" s="255">
        <f t="shared" ref="E4:E21" si="0">+C4+D4</f>
        <v>2</v>
      </c>
      <c r="F4" s="277">
        <v>484</v>
      </c>
      <c r="G4" s="301">
        <v>5</v>
      </c>
      <c r="H4" s="277">
        <v>580</v>
      </c>
      <c r="I4" s="255">
        <f t="shared" ref="I4:I21" si="1">+G4+H4</f>
        <v>585</v>
      </c>
      <c r="J4" s="277">
        <v>932</v>
      </c>
      <c r="K4" s="301">
        <v>0</v>
      </c>
      <c r="L4" s="301">
        <v>102</v>
      </c>
      <c r="M4" s="255">
        <f t="shared" ref="M4:M21" si="2">+K4+L4</f>
        <v>102</v>
      </c>
      <c r="N4" s="277">
        <v>24</v>
      </c>
    </row>
    <row r="5" spans="1:14" ht="14.65">
      <c r="A5" s="247">
        <v>3</v>
      </c>
      <c r="B5" s="254" t="s">
        <v>14</v>
      </c>
      <c r="C5" s="301">
        <v>5</v>
      </c>
      <c r="D5" s="277">
        <v>1</v>
      </c>
      <c r="E5" s="255">
        <f t="shared" si="0"/>
        <v>6</v>
      </c>
      <c r="F5" s="277">
        <v>62</v>
      </c>
      <c r="G5" s="301">
        <v>148</v>
      </c>
      <c r="H5" s="277">
        <v>1108</v>
      </c>
      <c r="I5" s="255">
        <f t="shared" si="1"/>
        <v>1256</v>
      </c>
      <c r="J5" s="277">
        <v>910</v>
      </c>
      <c r="K5" s="301">
        <v>0</v>
      </c>
      <c r="L5" s="301">
        <v>0</v>
      </c>
      <c r="M5" s="255">
        <f t="shared" si="2"/>
        <v>0</v>
      </c>
      <c r="N5" s="277">
        <v>0</v>
      </c>
    </row>
    <row r="6" spans="1:14" ht="14.65">
      <c r="A6" s="247">
        <v>4</v>
      </c>
      <c r="B6" s="254" t="s">
        <v>15</v>
      </c>
      <c r="C6" s="301">
        <v>82</v>
      </c>
      <c r="D6" s="277">
        <v>456</v>
      </c>
      <c r="E6" s="255">
        <f t="shared" si="0"/>
        <v>538</v>
      </c>
      <c r="F6" s="277">
        <v>49</v>
      </c>
      <c r="G6" s="301">
        <v>64</v>
      </c>
      <c r="H6" s="277">
        <v>333</v>
      </c>
      <c r="I6" s="255">
        <f t="shared" si="1"/>
        <v>397</v>
      </c>
      <c r="J6" s="277">
        <v>8</v>
      </c>
      <c r="K6" s="301">
        <v>0</v>
      </c>
      <c r="L6" s="301">
        <v>0</v>
      </c>
      <c r="M6" s="255">
        <f t="shared" si="2"/>
        <v>0</v>
      </c>
      <c r="N6" s="277">
        <v>348</v>
      </c>
    </row>
    <row r="7" spans="1:14" ht="14.65">
      <c r="A7" s="247">
        <v>5</v>
      </c>
      <c r="B7" s="254" t="s">
        <v>4</v>
      </c>
      <c r="C7" s="301">
        <v>234</v>
      </c>
      <c r="D7" s="277">
        <v>1167</v>
      </c>
      <c r="E7" s="255">
        <f t="shared" si="0"/>
        <v>1401</v>
      </c>
      <c r="F7" s="277">
        <v>256</v>
      </c>
      <c r="G7" s="301">
        <v>1776</v>
      </c>
      <c r="H7" s="277">
        <v>1535</v>
      </c>
      <c r="I7" s="255">
        <f t="shared" si="1"/>
        <v>3311</v>
      </c>
      <c r="J7" s="277">
        <v>1</v>
      </c>
      <c r="K7" s="301">
        <v>6</v>
      </c>
      <c r="L7" s="301">
        <v>560</v>
      </c>
      <c r="M7" s="255">
        <f t="shared" si="2"/>
        <v>566</v>
      </c>
      <c r="N7" s="277">
        <v>0</v>
      </c>
    </row>
    <row r="8" spans="1:14" ht="14.65">
      <c r="A8" s="247">
        <v>6</v>
      </c>
      <c r="B8" s="254" t="s">
        <v>8</v>
      </c>
      <c r="C8" s="301">
        <v>1</v>
      </c>
      <c r="D8" s="277">
        <v>6</v>
      </c>
      <c r="E8" s="255">
        <f t="shared" si="0"/>
        <v>7</v>
      </c>
      <c r="F8" s="277">
        <v>95</v>
      </c>
      <c r="G8" s="301">
        <v>4</v>
      </c>
      <c r="H8" s="277">
        <v>21</v>
      </c>
      <c r="I8" s="255">
        <f t="shared" si="1"/>
        <v>25</v>
      </c>
      <c r="J8" s="277">
        <v>92</v>
      </c>
      <c r="K8" s="301">
        <v>0</v>
      </c>
      <c r="L8" s="301">
        <v>18</v>
      </c>
      <c r="M8" s="255">
        <f t="shared" si="2"/>
        <v>18</v>
      </c>
      <c r="N8" s="277">
        <v>0</v>
      </c>
    </row>
    <row r="9" spans="1:14" ht="14.65">
      <c r="A9" s="247">
        <v>7</v>
      </c>
      <c r="B9" s="254" t="s">
        <v>1</v>
      </c>
      <c r="C9" s="301">
        <v>202</v>
      </c>
      <c r="D9" s="277">
        <v>1232</v>
      </c>
      <c r="E9" s="255">
        <f t="shared" si="0"/>
        <v>1434</v>
      </c>
      <c r="F9" s="277">
        <v>485</v>
      </c>
      <c r="G9" s="301">
        <v>881</v>
      </c>
      <c r="H9" s="277">
        <v>1871</v>
      </c>
      <c r="I9" s="255">
        <f t="shared" si="1"/>
        <v>2752</v>
      </c>
      <c r="J9" s="277">
        <v>60</v>
      </c>
      <c r="K9" s="301">
        <v>1348</v>
      </c>
      <c r="L9" s="301">
        <v>7</v>
      </c>
      <c r="M9" s="255">
        <f t="shared" si="2"/>
        <v>1355</v>
      </c>
      <c r="N9" s="277">
        <v>0</v>
      </c>
    </row>
    <row r="10" spans="1:14" ht="14.65">
      <c r="A10" s="247">
        <v>8</v>
      </c>
      <c r="B10" s="254" t="s">
        <v>2</v>
      </c>
      <c r="C10" s="301">
        <v>6</v>
      </c>
      <c r="D10" s="277">
        <v>1314</v>
      </c>
      <c r="E10" s="255">
        <f t="shared" si="0"/>
        <v>1320</v>
      </c>
      <c r="F10" s="277">
        <v>2619</v>
      </c>
      <c r="G10" s="301">
        <v>107</v>
      </c>
      <c r="H10" s="277">
        <v>1786</v>
      </c>
      <c r="I10" s="255">
        <f t="shared" si="1"/>
        <v>1893</v>
      </c>
      <c r="J10" s="277">
        <v>711</v>
      </c>
      <c r="K10" s="301">
        <v>0</v>
      </c>
      <c r="L10" s="301">
        <v>22</v>
      </c>
      <c r="M10" s="255">
        <f t="shared" si="2"/>
        <v>22</v>
      </c>
      <c r="N10" s="277">
        <v>0</v>
      </c>
    </row>
    <row r="11" spans="1:14" ht="14.65">
      <c r="A11" s="247">
        <v>9</v>
      </c>
      <c r="B11" s="254" t="s">
        <v>16</v>
      </c>
      <c r="C11" s="301">
        <v>0</v>
      </c>
      <c r="D11" s="277">
        <v>1374</v>
      </c>
      <c r="E11" s="255">
        <f t="shared" si="0"/>
        <v>1374</v>
      </c>
      <c r="F11" s="277">
        <v>1380</v>
      </c>
      <c r="G11" s="301">
        <v>1803</v>
      </c>
      <c r="H11" s="277">
        <v>6128</v>
      </c>
      <c r="I11" s="255">
        <f t="shared" si="1"/>
        <v>7931</v>
      </c>
      <c r="J11" s="277">
        <v>1897</v>
      </c>
      <c r="K11" s="301">
        <v>2124</v>
      </c>
      <c r="L11" s="301">
        <v>3920</v>
      </c>
      <c r="M11" s="255">
        <f t="shared" si="2"/>
        <v>6044</v>
      </c>
      <c r="N11" s="277">
        <v>198</v>
      </c>
    </row>
    <row r="12" spans="1:14" ht="14.65">
      <c r="A12" s="247">
        <v>10</v>
      </c>
      <c r="B12" s="254" t="s">
        <v>7</v>
      </c>
      <c r="C12" s="301">
        <v>21</v>
      </c>
      <c r="D12" s="277">
        <v>175</v>
      </c>
      <c r="E12" s="255">
        <f t="shared" si="0"/>
        <v>196</v>
      </c>
      <c r="F12" s="277">
        <v>911</v>
      </c>
      <c r="G12" s="301">
        <v>16</v>
      </c>
      <c r="H12" s="277">
        <v>596</v>
      </c>
      <c r="I12" s="255">
        <f t="shared" si="1"/>
        <v>612</v>
      </c>
      <c r="J12" s="277">
        <v>574</v>
      </c>
      <c r="K12" s="301">
        <v>6</v>
      </c>
      <c r="L12" s="301">
        <v>576</v>
      </c>
      <c r="M12" s="255">
        <f t="shared" si="2"/>
        <v>582</v>
      </c>
      <c r="N12" s="277">
        <v>71</v>
      </c>
    </row>
    <row r="13" spans="1:14" ht="14.65">
      <c r="A13" s="247">
        <v>11</v>
      </c>
      <c r="B13" s="254" t="s">
        <v>3</v>
      </c>
      <c r="C13" s="301">
        <v>11</v>
      </c>
      <c r="D13" s="277">
        <v>1817</v>
      </c>
      <c r="E13" s="255">
        <f t="shared" si="0"/>
        <v>1828</v>
      </c>
      <c r="F13" s="277">
        <v>3035</v>
      </c>
      <c r="G13" s="301">
        <v>550</v>
      </c>
      <c r="H13" s="277">
        <v>1870</v>
      </c>
      <c r="I13" s="255">
        <f t="shared" si="1"/>
        <v>2420</v>
      </c>
      <c r="J13" s="277">
        <v>2016</v>
      </c>
      <c r="K13" s="301">
        <v>0</v>
      </c>
      <c r="L13" s="301">
        <v>2138</v>
      </c>
      <c r="M13" s="255">
        <f t="shared" si="2"/>
        <v>2138</v>
      </c>
      <c r="N13" s="277">
        <v>213</v>
      </c>
    </row>
    <row r="14" spans="1:14" ht="14.65">
      <c r="A14" s="247">
        <v>12</v>
      </c>
      <c r="B14" s="254" t="s">
        <v>17</v>
      </c>
      <c r="C14" s="301">
        <v>0</v>
      </c>
      <c r="D14" s="277">
        <v>3</v>
      </c>
      <c r="E14" s="255">
        <f t="shared" si="0"/>
        <v>3</v>
      </c>
      <c r="F14" s="277">
        <v>394</v>
      </c>
      <c r="G14" s="301">
        <v>0</v>
      </c>
      <c r="H14" s="277">
        <v>1310</v>
      </c>
      <c r="I14" s="255">
        <f t="shared" si="1"/>
        <v>1310</v>
      </c>
      <c r="J14" s="277">
        <v>748</v>
      </c>
      <c r="K14" s="301">
        <v>0</v>
      </c>
      <c r="L14" s="301">
        <v>132</v>
      </c>
      <c r="M14" s="255">
        <f t="shared" si="2"/>
        <v>132</v>
      </c>
      <c r="N14" s="277">
        <v>61</v>
      </c>
    </row>
    <row r="15" spans="1:14" ht="14.65">
      <c r="A15" s="247">
        <v>13</v>
      </c>
      <c r="B15" s="254" t="s">
        <v>18</v>
      </c>
      <c r="C15" s="301">
        <v>1</v>
      </c>
      <c r="D15" s="277">
        <v>2</v>
      </c>
      <c r="E15" s="255">
        <f t="shared" si="0"/>
        <v>3</v>
      </c>
      <c r="F15" s="277">
        <v>479</v>
      </c>
      <c r="G15" s="301">
        <v>0</v>
      </c>
      <c r="H15" s="277">
        <v>158</v>
      </c>
      <c r="I15" s="255">
        <f t="shared" si="1"/>
        <v>158</v>
      </c>
      <c r="J15" s="277">
        <v>716</v>
      </c>
      <c r="K15" s="301">
        <v>0</v>
      </c>
      <c r="L15" s="301">
        <v>247</v>
      </c>
      <c r="M15" s="255">
        <f t="shared" si="2"/>
        <v>247</v>
      </c>
      <c r="N15" s="277">
        <v>0</v>
      </c>
    </row>
    <row r="16" spans="1:14" ht="14.65">
      <c r="A16" s="247">
        <v>14</v>
      </c>
      <c r="B16" s="254" t="s">
        <v>19</v>
      </c>
      <c r="C16" s="301">
        <v>0</v>
      </c>
      <c r="D16" s="277">
        <v>12</v>
      </c>
      <c r="E16" s="255">
        <f t="shared" si="0"/>
        <v>12</v>
      </c>
      <c r="F16" s="277">
        <v>903</v>
      </c>
      <c r="G16" s="301">
        <v>0</v>
      </c>
      <c r="H16" s="277">
        <v>711</v>
      </c>
      <c r="I16" s="255">
        <f t="shared" si="1"/>
        <v>711</v>
      </c>
      <c r="J16" s="277">
        <v>326</v>
      </c>
      <c r="K16" s="301">
        <v>0</v>
      </c>
      <c r="L16" s="301">
        <v>198</v>
      </c>
      <c r="M16" s="255">
        <f t="shared" si="2"/>
        <v>198</v>
      </c>
      <c r="N16" s="277">
        <v>0</v>
      </c>
    </row>
    <row r="17" spans="1:14" ht="14.65">
      <c r="A17" s="247">
        <v>15</v>
      </c>
      <c r="B17" s="254" t="s">
        <v>20</v>
      </c>
      <c r="C17" s="301">
        <v>0</v>
      </c>
      <c r="D17" s="277">
        <v>17</v>
      </c>
      <c r="E17" s="255">
        <f t="shared" si="0"/>
        <v>17</v>
      </c>
      <c r="F17" s="277">
        <v>203</v>
      </c>
      <c r="G17" s="301">
        <v>0</v>
      </c>
      <c r="H17" s="277">
        <v>77</v>
      </c>
      <c r="I17" s="255">
        <f t="shared" si="1"/>
        <v>77</v>
      </c>
      <c r="J17" s="277">
        <v>69</v>
      </c>
      <c r="K17" s="301">
        <v>0</v>
      </c>
      <c r="L17" s="301">
        <v>336</v>
      </c>
      <c r="M17" s="255">
        <f t="shared" si="2"/>
        <v>336</v>
      </c>
      <c r="N17" s="277">
        <v>6</v>
      </c>
    </row>
    <row r="18" spans="1:14" ht="14.65">
      <c r="A18" s="247">
        <v>16</v>
      </c>
      <c r="B18" s="254" t="s">
        <v>21</v>
      </c>
      <c r="C18" s="301">
        <v>0</v>
      </c>
      <c r="D18" s="277">
        <v>84</v>
      </c>
      <c r="E18" s="255">
        <f t="shared" si="0"/>
        <v>84</v>
      </c>
      <c r="F18" s="277">
        <v>124</v>
      </c>
      <c r="G18" s="301">
        <v>0</v>
      </c>
      <c r="H18" s="277">
        <v>2544</v>
      </c>
      <c r="I18" s="255">
        <f t="shared" si="1"/>
        <v>2544</v>
      </c>
      <c r="J18" s="277">
        <v>746</v>
      </c>
      <c r="K18" s="301">
        <v>782</v>
      </c>
      <c r="L18" s="301">
        <v>799</v>
      </c>
      <c r="M18" s="255">
        <f t="shared" si="2"/>
        <v>1581</v>
      </c>
      <c r="N18" s="277">
        <v>17</v>
      </c>
    </row>
    <row r="19" spans="1:14" ht="14.65">
      <c r="A19" s="247">
        <v>17</v>
      </c>
      <c r="B19" s="254" t="s">
        <v>22</v>
      </c>
      <c r="C19" s="301">
        <v>0</v>
      </c>
      <c r="D19" s="277">
        <v>0</v>
      </c>
      <c r="E19" s="255">
        <f t="shared" si="0"/>
        <v>0</v>
      </c>
      <c r="F19" s="277">
        <v>22</v>
      </c>
      <c r="G19" s="301">
        <v>0</v>
      </c>
      <c r="H19" s="277">
        <v>0</v>
      </c>
      <c r="I19" s="255">
        <f t="shared" si="1"/>
        <v>0</v>
      </c>
      <c r="J19" s="277">
        <v>0</v>
      </c>
      <c r="K19" s="301">
        <v>0</v>
      </c>
      <c r="L19" s="301">
        <v>0</v>
      </c>
      <c r="M19" s="255">
        <f t="shared" si="2"/>
        <v>0</v>
      </c>
      <c r="N19" s="277">
        <v>0</v>
      </c>
    </row>
    <row r="20" spans="1:14" ht="14.65">
      <c r="A20" s="247">
        <v>18</v>
      </c>
      <c r="B20" s="254" t="s">
        <v>23</v>
      </c>
      <c r="C20" s="301">
        <v>16</v>
      </c>
      <c r="D20" s="277">
        <v>442</v>
      </c>
      <c r="E20" s="255">
        <f t="shared" si="0"/>
        <v>458</v>
      </c>
      <c r="F20" s="277">
        <v>334</v>
      </c>
      <c r="G20" s="301">
        <v>202</v>
      </c>
      <c r="H20" s="277">
        <v>979</v>
      </c>
      <c r="I20" s="255">
        <f t="shared" si="1"/>
        <v>1181</v>
      </c>
      <c r="J20" s="277">
        <v>120</v>
      </c>
      <c r="K20" s="301">
        <v>0</v>
      </c>
      <c r="L20" s="301">
        <v>12</v>
      </c>
      <c r="M20" s="255">
        <f t="shared" si="2"/>
        <v>12</v>
      </c>
      <c r="N20" s="277">
        <v>72</v>
      </c>
    </row>
    <row r="21" spans="1:14" ht="14.65">
      <c r="A21" s="247">
        <v>19</v>
      </c>
      <c r="B21" s="254" t="s">
        <v>24</v>
      </c>
      <c r="C21" s="301">
        <v>59</v>
      </c>
      <c r="D21" s="277">
        <v>241</v>
      </c>
      <c r="E21" s="255">
        <f t="shared" si="0"/>
        <v>300</v>
      </c>
      <c r="F21" s="277">
        <v>12</v>
      </c>
      <c r="G21" s="301">
        <v>58</v>
      </c>
      <c r="H21" s="277">
        <v>1452</v>
      </c>
      <c r="I21" s="255">
        <f t="shared" si="1"/>
        <v>1510</v>
      </c>
      <c r="J21" s="277">
        <v>39</v>
      </c>
      <c r="K21" s="301">
        <v>634</v>
      </c>
      <c r="L21" s="301">
        <v>0</v>
      </c>
      <c r="M21" s="255">
        <f t="shared" si="2"/>
        <v>634</v>
      </c>
      <c r="N21" s="277">
        <v>0</v>
      </c>
    </row>
    <row r="22" spans="1:14">
      <c r="A22" s="435" t="s">
        <v>93</v>
      </c>
      <c r="B22" s="435"/>
      <c r="C22" s="257">
        <f>SUM(C3:C21)</f>
        <v>651</v>
      </c>
      <c r="D22" s="257">
        <f t="shared" ref="D22:J22" si="3">SUM(D3:D21)</f>
        <v>8430</v>
      </c>
      <c r="E22" s="257">
        <f>SUM(E3:E21)</f>
        <v>9081</v>
      </c>
      <c r="F22" s="257">
        <f t="shared" si="3"/>
        <v>13643</v>
      </c>
      <c r="G22" s="257">
        <f t="shared" si="3"/>
        <v>5629</v>
      </c>
      <c r="H22" s="257">
        <f t="shared" si="3"/>
        <v>24340</v>
      </c>
      <c r="I22" s="257">
        <f>SUM(I3:I21)</f>
        <v>29969</v>
      </c>
      <c r="J22" s="257">
        <f t="shared" si="3"/>
        <v>15219</v>
      </c>
      <c r="K22" s="257">
        <f t="shared" ref="K22:L22" si="4">SUM(K3:K21)</f>
        <v>4900</v>
      </c>
      <c r="L22" s="257">
        <f t="shared" si="4"/>
        <v>9565</v>
      </c>
      <c r="M22" s="257">
        <f>SUM(M3:M21)</f>
        <v>14465</v>
      </c>
      <c r="N22" s="257">
        <f t="shared" ref="N22" si="5">SUM(N3:N21)</f>
        <v>1124</v>
      </c>
    </row>
  </sheetData>
  <mergeCells count="5">
    <mergeCell ref="C1:F1"/>
    <mergeCell ref="G1:J1"/>
    <mergeCell ref="A22:B22"/>
    <mergeCell ref="A1:B1"/>
    <mergeCell ref="K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96"/>
  <sheetViews>
    <sheetView showGridLines="0" topLeftCell="F25" zoomScaleNormal="100" workbookViewId="0">
      <selection activeCell="S35" sqref="S35"/>
    </sheetView>
  </sheetViews>
  <sheetFormatPr baseColWidth="10" defaultColWidth="11.3984375" defaultRowHeight="14.25"/>
  <cols>
    <col min="1" max="1" width="11.73046875" style="1" customWidth="1"/>
    <col min="2" max="2" width="9" style="192" customWidth="1"/>
    <col min="3" max="3" width="8.3984375" style="1" customWidth="1"/>
    <col min="4" max="5" width="8.59765625" style="1" customWidth="1"/>
    <col min="6" max="6" width="10.3984375" style="1" customWidth="1"/>
    <col min="7" max="7" width="19.59765625" customWidth="1"/>
    <col min="8" max="8" width="15.3984375" customWidth="1"/>
    <col min="9" max="9" width="15.265625" customWidth="1"/>
    <col min="10" max="10" width="14.86328125" customWidth="1"/>
  </cols>
  <sheetData>
    <row r="1" spans="1:11" ht="18">
      <c r="A1" s="366" t="s">
        <v>102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1" ht="15.4">
      <c r="A2" s="14"/>
      <c r="B2" s="188"/>
      <c r="C2" s="14"/>
      <c r="D2" s="14"/>
      <c r="E2" s="14"/>
      <c r="F2" s="14"/>
      <c r="G2" s="14"/>
      <c r="H2" s="14"/>
      <c r="I2" s="14"/>
      <c r="J2" s="14"/>
    </row>
    <row r="3" spans="1:11" ht="18" customHeight="1">
      <c r="A3" s="14" t="s">
        <v>49</v>
      </c>
      <c r="B3" s="188"/>
      <c r="C3" s="14"/>
      <c r="D3" s="14"/>
      <c r="E3" s="14"/>
      <c r="F3" s="14"/>
      <c r="G3" s="14"/>
      <c r="H3" s="14"/>
      <c r="I3" s="14"/>
      <c r="J3" s="14"/>
    </row>
    <row r="4" spans="1:11" ht="15" customHeight="1">
      <c r="A4" s="14" t="s">
        <v>103</v>
      </c>
      <c r="B4" s="188"/>
      <c r="C4" s="14"/>
      <c r="D4" s="14"/>
      <c r="E4" s="14"/>
      <c r="F4" s="14"/>
      <c r="G4" s="14"/>
      <c r="H4" s="14"/>
      <c r="I4" s="14"/>
      <c r="J4" s="14"/>
    </row>
    <row r="5" spans="1:11" ht="15" customHeight="1">
      <c r="A5" s="9" t="s">
        <v>29</v>
      </c>
      <c r="B5" s="367" t="s">
        <v>38</v>
      </c>
      <c r="C5" s="368" t="s">
        <v>33</v>
      </c>
      <c r="D5" s="368"/>
      <c r="E5" s="368" t="s">
        <v>34</v>
      </c>
      <c r="F5" s="250"/>
      <c r="G5" s="251"/>
      <c r="H5" s="251"/>
      <c r="I5" s="251"/>
      <c r="J5" s="251"/>
    </row>
    <row r="6" spans="1:11" ht="54" customHeight="1">
      <c r="A6" s="12"/>
      <c r="B6" s="367"/>
      <c r="C6" s="250" t="s">
        <v>5</v>
      </c>
      <c r="D6" s="250" t="s">
        <v>6</v>
      </c>
      <c r="E6" s="368"/>
      <c r="F6" s="252" t="s">
        <v>10</v>
      </c>
      <c r="G6" s="249" t="s">
        <v>59</v>
      </c>
      <c r="H6" s="249" t="s">
        <v>35</v>
      </c>
      <c r="I6" s="249" t="s">
        <v>36</v>
      </c>
      <c r="J6" s="249" t="s">
        <v>37</v>
      </c>
    </row>
    <row r="7" spans="1:11" ht="15.4">
      <c r="A7" s="225">
        <v>2012</v>
      </c>
      <c r="B7" s="193">
        <v>590</v>
      </c>
      <c r="C7" s="302">
        <v>265</v>
      </c>
      <c r="D7" s="303">
        <v>325</v>
      </c>
      <c r="E7" s="304">
        <v>1119</v>
      </c>
      <c r="F7" s="171">
        <f t="shared" ref="F7:F12" si="0">+C7+D7+E7</f>
        <v>1709</v>
      </c>
      <c r="G7" s="21"/>
      <c r="H7" s="18"/>
      <c r="I7" s="26"/>
      <c r="J7" s="26"/>
      <c r="K7" s="29"/>
    </row>
    <row r="8" spans="1:11" ht="15.4">
      <c r="A8" s="225">
        <v>2013</v>
      </c>
      <c r="B8" s="193">
        <v>1706</v>
      </c>
      <c r="C8" s="302">
        <v>215</v>
      </c>
      <c r="D8" s="303">
        <v>1491</v>
      </c>
      <c r="E8" s="304">
        <v>1431</v>
      </c>
      <c r="F8" s="171">
        <f t="shared" si="0"/>
        <v>3137</v>
      </c>
      <c r="G8" s="17"/>
      <c r="H8" s="18"/>
      <c r="I8" s="18"/>
      <c r="J8" s="26"/>
      <c r="K8" s="29"/>
    </row>
    <row r="9" spans="1:11" ht="15.4">
      <c r="A9" s="225">
        <v>2014</v>
      </c>
      <c r="B9" s="193">
        <v>652</v>
      </c>
      <c r="C9" s="302">
        <v>100</v>
      </c>
      <c r="D9" s="303">
        <v>552</v>
      </c>
      <c r="E9" s="304">
        <v>1531</v>
      </c>
      <c r="F9" s="171">
        <f t="shared" si="0"/>
        <v>2183</v>
      </c>
      <c r="G9" s="17"/>
      <c r="H9" s="18"/>
      <c r="I9" s="18"/>
      <c r="J9" s="26"/>
      <c r="K9" s="29"/>
    </row>
    <row r="10" spans="1:11" ht="15.4">
      <c r="A10" s="225">
        <v>2015</v>
      </c>
      <c r="B10" s="193">
        <v>3495</v>
      </c>
      <c r="C10" s="302">
        <v>2357</v>
      </c>
      <c r="D10" s="303">
        <v>1138</v>
      </c>
      <c r="E10" s="304">
        <v>1784</v>
      </c>
      <c r="F10" s="171">
        <f t="shared" si="0"/>
        <v>5279</v>
      </c>
      <c r="G10" s="17"/>
      <c r="H10" s="18"/>
      <c r="I10" s="18"/>
      <c r="J10" s="26"/>
      <c r="K10" s="29"/>
    </row>
    <row r="11" spans="1:11" ht="15.4">
      <c r="A11" s="225">
        <v>2016</v>
      </c>
      <c r="B11" s="193">
        <v>1163</v>
      </c>
      <c r="C11" s="302">
        <v>335</v>
      </c>
      <c r="D11" s="303">
        <v>828</v>
      </c>
      <c r="E11" s="304">
        <v>1092</v>
      </c>
      <c r="F11" s="171">
        <f>+C11+D11+E11</f>
        <v>2255</v>
      </c>
      <c r="K11" s="29"/>
    </row>
    <row r="12" spans="1:11" ht="15.4">
      <c r="A12" s="225">
        <v>2017</v>
      </c>
      <c r="B12" s="193">
        <v>1120</v>
      </c>
      <c r="C12" s="302">
        <v>182</v>
      </c>
      <c r="D12" s="303">
        <v>938</v>
      </c>
      <c r="E12" s="304">
        <v>1080</v>
      </c>
      <c r="F12" s="171">
        <f t="shared" si="0"/>
        <v>2200</v>
      </c>
      <c r="G12" s="16"/>
      <c r="H12" s="16"/>
      <c r="I12" s="16"/>
      <c r="J12" s="16"/>
      <c r="K12" s="29"/>
    </row>
    <row r="13" spans="1:11" ht="15.4">
      <c r="A13" s="225">
        <v>2018</v>
      </c>
      <c r="B13" s="193">
        <v>685</v>
      </c>
      <c r="C13" s="302">
        <v>117</v>
      </c>
      <c r="D13" s="303">
        <v>568</v>
      </c>
      <c r="E13" s="304">
        <v>1150</v>
      </c>
      <c r="F13" s="171">
        <f t="shared" ref="F13:F19" si="1">+C13+D13+E13</f>
        <v>1835</v>
      </c>
      <c r="G13" s="21"/>
      <c r="H13" s="21"/>
      <c r="I13" s="21"/>
      <c r="J13" s="21"/>
      <c r="K13" s="29"/>
    </row>
    <row r="14" spans="1:11" ht="15.4">
      <c r="A14" s="225">
        <v>2019</v>
      </c>
      <c r="B14" s="193">
        <v>1449</v>
      </c>
      <c r="C14" s="302">
        <v>544</v>
      </c>
      <c r="D14" s="303">
        <v>905</v>
      </c>
      <c r="E14" s="304">
        <v>1141</v>
      </c>
      <c r="F14" s="171">
        <f t="shared" si="1"/>
        <v>2590</v>
      </c>
      <c r="G14" s="21"/>
      <c r="H14" s="21"/>
      <c r="I14" s="21"/>
      <c r="J14" s="21"/>
      <c r="K14" s="29"/>
    </row>
    <row r="15" spans="1:11" ht="15.4">
      <c r="A15" s="225">
        <v>2020</v>
      </c>
      <c r="B15" s="193">
        <v>800</v>
      </c>
      <c r="C15" s="302">
        <v>5</v>
      </c>
      <c r="D15" s="303">
        <v>795</v>
      </c>
      <c r="E15" s="304">
        <v>776</v>
      </c>
      <c r="F15" s="171">
        <f t="shared" si="1"/>
        <v>1576</v>
      </c>
      <c r="K15" s="29"/>
    </row>
    <row r="16" spans="1:11" ht="15.4">
      <c r="A16" s="225">
        <v>2021</v>
      </c>
      <c r="B16" s="193">
        <v>1440</v>
      </c>
      <c r="C16" s="302">
        <v>5</v>
      </c>
      <c r="D16" s="303">
        <v>1435</v>
      </c>
      <c r="E16" s="304">
        <v>1032</v>
      </c>
      <c r="F16" s="171">
        <f t="shared" si="1"/>
        <v>2472</v>
      </c>
      <c r="K16" s="29"/>
    </row>
    <row r="17" spans="1:13" ht="15.4">
      <c r="A17" s="225">
        <v>2022</v>
      </c>
      <c r="B17" s="193">
        <v>2072</v>
      </c>
      <c r="C17" s="302">
        <v>2</v>
      </c>
      <c r="D17" s="303">
        <v>2070</v>
      </c>
      <c r="E17" s="304">
        <v>910</v>
      </c>
      <c r="F17" s="171">
        <f t="shared" si="1"/>
        <v>2982</v>
      </c>
      <c r="K17" s="29"/>
    </row>
    <row r="18" spans="1:13" ht="15.4">
      <c r="A18" s="225">
        <v>2023</v>
      </c>
      <c r="B18" s="193">
        <v>1698</v>
      </c>
      <c r="C18" s="302">
        <v>113</v>
      </c>
      <c r="D18" s="303">
        <v>1585</v>
      </c>
      <c r="E18" s="304">
        <v>855</v>
      </c>
      <c r="F18" s="171">
        <f t="shared" si="1"/>
        <v>2553</v>
      </c>
      <c r="K18" s="29"/>
    </row>
    <row r="19" spans="1:13" ht="15.4">
      <c r="A19" s="225">
        <v>2024</v>
      </c>
      <c r="B19" s="193">
        <v>2852</v>
      </c>
      <c r="C19" s="302">
        <v>75</v>
      </c>
      <c r="D19" s="303">
        <v>2777</v>
      </c>
      <c r="E19" s="304">
        <v>455</v>
      </c>
      <c r="F19" s="171">
        <f t="shared" si="1"/>
        <v>3307</v>
      </c>
    </row>
    <row r="20" spans="1:13" ht="15.4">
      <c r="A20" s="225">
        <v>2025</v>
      </c>
      <c r="B20" s="193">
        <v>2448</v>
      </c>
      <c r="C20" s="302">
        <v>22</v>
      </c>
      <c r="D20" s="303">
        <v>2426</v>
      </c>
      <c r="E20" s="304">
        <v>4611</v>
      </c>
      <c r="F20" s="171">
        <f>+C20+D20+E20</f>
        <v>7059</v>
      </c>
      <c r="G20" s="35">
        <f t="shared" ref="G20:J21" si="2">+B20/B19*100-100</f>
        <v>-14.165497896213182</v>
      </c>
      <c r="H20" s="220">
        <f t="shared" si="2"/>
        <v>-70.666666666666671</v>
      </c>
      <c r="I20" s="221">
        <f t="shared" si="2"/>
        <v>-12.639539070939861</v>
      </c>
      <c r="J20" s="35">
        <f t="shared" si="2"/>
        <v>913.4065934065934</v>
      </c>
    </row>
    <row r="21" spans="1:13" ht="15.4">
      <c r="A21" s="225">
        <v>2026</v>
      </c>
      <c r="B21" s="288">
        <f>+C21+D21</f>
        <v>4786</v>
      </c>
      <c r="C21" s="287">
        <v>2368</v>
      </c>
      <c r="D21" s="286">
        <v>2418</v>
      </c>
      <c r="E21" s="287">
        <v>60</v>
      </c>
      <c r="F21" s="171">
        <f>+C21+D21+E21</f>
        <v>4846</v>
      </c>
      <c r="G21" s="35">
        <f t="shared" si="2"/>
        <v>95.506535947712422</v>
      </c>
      <c r="H21" s="220">
        <f t="shared" si="2"/>
        <v>10663.636363636364</v>
      </c>
      <c r="I21" s="221">
        <f t="shared" si="2"/>
        <v>-0.32976092333058205</v>
      </c>
      <c r="J21" s="35">
        <f t="shared" si="2"/>
        <v>-98.698763825634359</v>
      </c>
    </row>
    <row r="22" spans="1:13" ht="15.4">
      <c r="A22" s="27" t="s">
        <v>61</v>
      </c>
      <c r="B22" s="211">
        <f>AVERAGE(B7:B20)</f>
        <v>1583.5714285714287</v>
      </c>
      <c r="C22" s="21"/>
      <c r="D22" s="21"/>
      <c r="E22" s="21"/>
      <c r="F22" s="37">
        <f>+F20-F19</f>
        <v>3752</v>
      </c>
      <c r="G22" s="28">
        <f>+F20-F24</f>
        <v>4437.6153846153848</v>
      </c>
      <c r="H22" s="26"/>
      <c r="I22" s="26"/>
      <c r="J22" s="26"/>
    </row>
    <row r="23" spans="1:13" ht="15.4">
      <c r="A23" s="16"/>
      <c r="B23" s="219">
        <f>+B21/B22*100-100</f>
        <v>202.22823635543523</v>
      </c>
      <c r="C23" s="229">
        <f>+F20/B20</f>
        <v>2.8835784313725492</v>
      </c>
      <c r="D23" s="24"/>
      <c r="E23" s="24"/>
      <c r="F23" s="25">
        <f>+F20/F19*100-100</f>
        <v>113.45630480798309</v>
      </c>
      <c r="G23" s="26"/>
      <c r="H23" s="18"/>
      <c r="I23" s="26"/>
      <c r="J23" s="26"/>
    </row>
    <row r="24" spans="1:13" ht="15.4">
      <c r="A24" s="16"/>
      <c r="B24" s="191"/>
      <c r="C24" s="21"/>
      <c r="D24" s="16"/>
      <c r="E24" s="16"/>
      <c r="F24" s="21">
        <f>AVERAGE(F7:F19)</f>
        <v>2621.3846153846152</v>
      </c>
      <c r="H24" s="26"/>
      <c r="I24" s="26"/>
      <c r="J24" s="26"/>
    </row>
    <row r="25" spans="1:13" ht="15.4">
      <c r="A25" s="14" t="s">
        <v>50</v>
      </c>
      <c r="B25" s="188"/>
      <c r="C25" s="14"/>
      <c r="D25" s="14"/>
      <c r="E25" s="14"/>
      <c r="F25" s="24">
        <f>+F20/F24*100-100</f>
        <v>169.28516931744821</v>
      </c>
      <c r="G25" s="26"/>
      <c r="H25" s="26"/>
      <c r="I25" s="26"/>
      <c r="J25" s="26"/>
    </row>
    <row r="26" spans="1:13" ht="15.95" customHeight="1">
      <c r="A26" s="369" t="s">
        <v>104</v>
      </c>
      <c r="B26" s="369"/>
      <c r="C26" s="369"/>
      <c r="D26" s="369"/>
      <c r="E26" s="31"/>
      <c r="G26" s="26"/>
      <c r="H26" s="26"/>
      <c r="I26" s="26"/>
      <c r="J26" s="26"/>
    </row>
    <row r="27" spans="1:13" ht="16.5" customHeight="1">
      <c r="A27" s="249" t="s">
        <v>29</v>
      </c>
      <c r="B27" s="367" t="s">
        <v>38</v>
      </c>
      <c r="C27" s="370" t="s">
        <v>33</v>
      </c>
      <c r="D27" s="370"/>
      <c r="E27" s="368" t="s">
        <v>34</v>
      </c>
      <c r="F27" s="250"/>
      <c r="G27" s="251"/>
      <c r="H27" s="251"/>
      <c r="I27" s="251"/>
      <c r="J27" s="251"/>
    </row>
    <row r="28" spans="1:13" ht="48.75" customHeight="1">
      <c r="A28" s="249"/>
      <c r="B28" s="367"/>
      <c r="C28" s="250" t="s">
        <v>5</v>
      </c>
      <c r="D28" s="250" t="s">
        <v>6</v>
      </c>
      <c r="E28" s="368"/>
      <c r="F28" s="250"/>
      <c r="G28" s="249" t="s">
        <v>64</v>
      </c>
      <c r="H28" s="249" t="s">
        <v>35</v>
      </c>
      <c r="I28" s="249" t="s">
        <v>36</v>
      </c>
      <c r="J28" s="249" t="s">
        <v>37</v>
      </c>
    </row>
    <row r="29" spans="1:13" ht="15.4">
      <c r="A29" s="225">
        <v>2012</v>
      </c>
      <c r="B29" s="278">
        <v>20651</v>
      </c>
      <c r="C29" s="278">
        <v>4744</v>
      </c>
      <c r="D29" s="279">
        <v>15907</v>
      </c>
      <c r="E29" s="280"/>
      <c r="F29" s="267">
        <f t="shared" ref="F29:F34" si="3">+C29+D29+E29</f>
        <v>20651</v>
      </c>
      <c r="G29" s="271"/>
      <c r="H29" s="272"/>
      <c r="I29" s="273"/>
      <c r="J29" s="32"/>
      <c r="K29" s="5"/>
      <c r="L29" s="5"/>
      <c r="M29" s="4"/>
    </row>
    <row r="30" spans="1:13" ht="17.25" customHeight="1">
      <c r="A30" s="225">
        <v>2013</v>
      </c>
      <c r="B30" s="278">
        <v>11845</v>
      </c>
      <c r="C30" s="278">
        <v>4202</v>
      </c>
      <c r="D30" s="279">
        <v>7643</v>
      </c>
      <c r="E30" s="280">
        <v>13582</v>
      </c>
      <c r="F30" s="267">
        <f t="shared" si="3"/>
        <v>25427</v>
      </c>
      <c r="G30" s="174"/>
      <c r="H30" s="26"/>
      <c r="I30" s="26"/>
      <c r="J30" s="19"/>
      <c r="K30" s="6"/>
      <c r="L30" s="5"/>
      <c r="M30" s="4"/>
    </row>
    <row r="31" spans="1:13" ht="17.25" customHeight="1">
      <c r="A31" s="225">
        <v>2014</v>
      </c>
      <c r="B31" s="278">
        <v>14642</v>
      </c>
      <c r="C31" s="278">
        <v>3002</v>
      </c>
      <c r="D31" s="279">
        <v>11640</v>
      </c>
      <c r="E31" s="280">
        <v>13983</v>
      </c>
      <c r="F31" s="267">
        <f t="shared" si="3"/>
        <v>28625</v>
      </c>
      <c r="G31" s="174"/>
      <c r="H31" s="26"/>
      <c r="I31" s="26"/>
      <c r="J31" s="19"/>
      <c r="K31" s="6"/>
      <c r="L31" s="5"/>
      <c r="M31" s="4"/>
    </row>
    <row r="32" spans="1:13" ht="17.25" customHeight="1">
      <c r="A32" s="225">
        <v>2015</v>
      </c>
      <c r="B32" s="278">
        <v>10449</v>
      </c>
      <c r="C32" s="278">
        <v>2022</v>
      </c>
      <c r="D32" s="279">
        <v>8427</v>
      </c>
      <c r="E32" s="280">
        <v>16280</v>
      </c>
      <c r="F32" s="267">
        <f t="shared" si="3"/>
        <v>26729</v>
      </c>
      <c r="G32" s="174"/>
      <c r="H32" s="274"/>
      <c r="I32" s="274"/>
      <c r="J32" s="33"/>
      <c r="K32" s="6"/>
      <c r="L32" s="5"/>
      <c r="M32" s="4"/>
    </row>
    <row r="33" spans="1:13" ht="17.25" customHeight="1">
      <c r="A33" s="225">
        <v>2016</v>
      </c>
      <c r="B33" s="278">
        <v>17298</v>
      </c>
      <c r="C33" s="278">
        <v>6784</v>
      </c>
      <c r="D33" s="279">
        <v>10514</v>
      </c>
      <c r="E33" s="280">
        <v>16253</v>
      </c>
      <c r="F33" s="267">
        <f t="shared" si="3"/>
        <v>33551</v>
      </c>
      <c r="G33" s="175"/>
      <c r="J33" s="20"/>
      <c r="K33" s="6"/>
      <c r="L33" s="5"/>
      <c r="M33" s="4"/>
    </row>
    <row r="34" spans="1:13" ht="17.25" customHeight="1">
      <c r="A34" s="225">
        <v>2017</v>
      </c>
      <c r="B34" s="278">
        <v>10600</v>
      </c>
      <c r="C34" s="278">
        <v>2507</v>
      </c>
      <c r="D34" s="279">
        <v>8093</v>
      </c>
      <c r="E34" s="280">
        <v>14841</v>
      </c>
      <c r="F34" s="267">
        <f t="shared" si="3"/>
        <v>25441</v>
      </c>
      <c r="G34" s="174"/>
      <c r="H34" s="274"/>
      <c r="I34" s="274"/>
      <c r="J34" s="33"/>
      <c r="K34" s="6"/>
      <c r="L34" s="5"/>
      <c r="M34" s="4"/>
    </row>
    <row r="35" spans="1:13" ht="17.25" customHeight="1">
      <c r="A35" s="225">
        <v>2018</v>
      </c>
      <c r="B35" s="278">
        <v>16522</v>
      </c>
      <c r="C35" s="278">
        <v>6232</v>
      </c>
      <c r="D35" s="279">
        <v>10290</v>
      </c>
      <c r="E35" s="280">
        <v>14422</v>
      </c>
      <c r="F35" s="267">
        <f t="shared" ref="F35:F41" si="4">+C35+D35+E35</f>
        <v>30944</v>
      </c>
      <c r="G35" s="174"/>
      <c r="H35" s="274"/>
      <c r="I35" s="274"/>
      <c r="J35" s="33"/>
      <c r="K35" s="6"/>
      <c r="L35" s="5"/>
      <c r="M35" s="4"/>
    </row>
    <row r="36" spans="1:13" ht="17.25" customHeight="1">
      <c r="A36" s="225">
        <v>2019</v>
      </c>
      <c r="B36" s="278">
        <v>10601</v>
      </c>
      <c r="C36" s="278">
        <v>2776</v>
      </c>
      <c r="D36" s="279">
        <v>7825</v>
      </c>
      <c r="E36" s="280">
        <v>13646</v>
      </c>
      <c r="F36" s="267">
        <f t="shared" si="4"/>
        <v>24247</v>
      </c>
      <c r="G36" s="275"/>
      <c r="H36" s="24"/>
      <c r="I36" s="24"/>
      <c r="J36" s="34"/>
      <c r="K36" s="6"/>
      <c r="L36" s="5"/>
      <c r="M36" s="4"/>
    </row>
    <row r="37" spans="1:13" ht="15.4">
      <c r="A37" s="225">
        <v>2020</v>
      </c>
      <c r="B37" s="278">
        <v>8219</v>
      </c>
      <c r="C37" s="278">
        <v>2197</v>
      </c>
      <c r="D37" s="279">
        <v>6022</v>
      </c>
      <c r="E37" s="280">
        <v>9539</v>
      </c>
      <c r="F37" s="267">
        <f t="shared" si="4"/>
        <v>17758</v>
      </c>
      <c r="G37" s="175"/>
      <c r="J37" s="20"/>
    </row>
    <row r="38" spans="1:13" ht="15.4">
      <c r="A38" s="225">
        <v>2021</v>
      </c>
      <c r="B38" s="278">
        <v>7677</v>
      </c>
      <c r="C38" s="278">
        <v>188</v>
      </c>
      <c r="D38" s="279">
        <v>7489</v>
      </c>
      <c r="E38" s="280">
        <v>8873</v>
      </c>
      <c r="F38" s="267">
        <f t="shared" si="4"/>
        <v>16550</v>
      </c>
      <c r="G38" s="175"/>
      <c r="J38" s="20"/>
    </row>
    <row r="39" spans="1:13" ht="15.4">
      <c r="A39" s="225">
        <v>2022</v>
      </c>
      <c r="B39" s="278">
        <v>12749</v>
      </c>
      <c r="C39" s="278">
        <v>1497</v>
      </c>
      <c r="D39" s="279">
        <v>11252</v>
      </c>
      <c r="E39" s="280">
        <v>12061</v>
      </c>
      <c r="F39" s="267">
        <f t="shared" si="4"/>
        <v>24810</v>
      </c>
      <c r="G39" s="175"/>
      <c r="J39" s="20"/>
    </row>
    <row r="40" spans="1:13" ht="15.4">
      <c r="A40" s="225">
        <v>2023</v>
      </c>
      <c r="B40" s="278">
        <v>11546</v>
      </c>
      <c r="C40" s="278">
        <v>815</v>
      </c>
      <c r="D40" s="279">
        <v>10731</v>
      </c>
      <c r="E40" s="280">
        <v>10651</v>
      </c>
      <c r="F40" s="267">
        <f t="shared" si="4"/>
        <v>22197</v>
      </c>
      <c r="G40" s="175"/>
      <c r="J40" s="20"/>
    </row>
    <row r="41" spans="1:13" ht="15.4">
      <c r="A41" s="225">
        <v>2024</v>
      </c>
      <c r="B41" s="278">
        <v>9776</v>
      </c>
      <c r="C41" s="278">
        <v>606</v>
      </c>
      <c r="D41" s="279">
        <v>9170</v>
      </c>
      <c r="E41" s="280">
        <v>15101</v>
      </c>
      <c r="F41" s="267">
        <f t="shared" si="4"/>
        <v>24877</v>
      </c>
      <c r="G41" s="175"/>
      <c r="J41" s="20"/>
    </row>
    <row r="42" spans="1:13" ht="15.4">
      <c r="A42" s="225">
        <v>2025</v>
      </c>
      <c r="B42" s="278">
        <v>19853</v>
      </c>
      <c r="C42" s="278">
        <v>2534</v>
      </c>
      <c r="D42" s="279">
        <v>17319</v>
      </c>
      <c r="E42" s="280">
        <v>10267</v>
      </c>
      <c r="F42" s="267">
        <f>+C42+D42+E42</f>
        <v>30120</v>
      </c>
      <c r="G42" s="23">
        <f t="shared" ref="G42:J43" si="5">+B42/B41*100-100</f>
        <v>103.07896890343699</v>
      </c>
      <c r="H42" s="23">
        <f t="shared" si="5"/>
        <v>318.15181518151815</v>
      </c>
      <c r="I42" s="23">
        <f t="shared" si="5"/>
        <v>88.865866957470018</v>
      </c>
      <c r="J42" s="23">
        <f t="shared" si="5"/>
        <v>-32.011125091053572</v>
      </c>
    </row>
    <row r="43" spans="1:13" ht="15.4">
      <c r="A43" s="225">
        <v>2026</v>
      </c>
      <c r="B43" s="288">
        <v>12414</v>
      </c>
      <c r="C43" s="287">
        <v>6046</v>
      </c>
      <c r="D43" s="286">
        <v>6008</v>
      </c>
      <c r="E43" s="287">
        <v>1124</v>
      </c>
      <c r="F43" s="171">
        <v>13358</v>
      </c>
      <c r="G43" s="23">
        <f t="shared" si="5"/>
        <v>-37.470407495088907</v>
      </c>
      <c r="H43" s="23">
        <f t="shared" si="5"/>
        <v>138.59510655090767</v>
      </c>
      <c r="I43" s="23">
        <f t="shared" si="5"/>
        <v>-65.309775391188865</v>
      </c>
      <c r="J43" s="23">
        <f t="shared" si="5"/>
        <v>-89.052303496639723</v>
      </c>
    </row>
    <row r="44" spans="1:13" ht="15.4">
      <c r="A44" s="36"/>
      <c r="B44" s="189">
        <f>+B42-B41</f>
        <v>10077</v>
      </c>
      <c r="C44" s="21"/>
      <c r="D44" s="21"/>
      <c r="E44" s="37"/>
      <c r="F44" s="25">
        <f>+F42/F41*100-100</f>
        <v>21.07569240664067</v>
      </c>
      <c r="G44" s="38"/>
      <c r="H44" s="26"/>
      <c r="I44" s="26"/>
      <c r="J44" s="26"/>
    </row>
    <row r="45" spans="1:13" ht="15.4">
      <c r="A45" s="16"/>
      <c r="B45" s="190"/>
      <c r="C45" s="24"/>
      <c r="D45" s="24"/>
      <c r="E45" s="39"/>
      <c r="F45" s="30">
        <f>+F42-F41</f>
        <v>5243</v>
      </c>
      <c r="G45" s="18"/>
      <c r="H45" s="26"/>
      <c r="I45" s="26"/>
      <c r="J45" s="26"/>
    </row>
    <row r="46" spans="1:13" ht="15.4">
      <c r="A46" s="359" t="s">
        <v>61</v>
      </c>
      <c r="B46" s="360"/>
      <c r="C46" s="361"/>
      <c r="D46" s="361"/>
      <c r="E46" s="362"/>
      <c r="F46" s="363">
        <f>AVERAGE(F29:F43)</f>
        <v>24352.333333333332</v>
      </c>
      <c r="G46" s="18"/>
      <c r="H46" s="26"/>
      <c r="I46" s="26"/>
      <c r="J46" s="26"/>
    </row>
    <row r="47" spans="1:13" ht="15.4">
      <c r="A47" s="16"/>
      <c r="B47" s="190"/>
      <c r="C47" s="24"/>
      <c r="D47" s="24"/>
      <c r="E47" s="39"/>
      <c r="F47" s="24">
        <f>+F42/F46*100-100</f>
        <v>23.684246547216574</v>
      </c>
      <c r="G47" s="30">
        <f>+F42-F46</f>
        <v>5767.6666666666679</v>
      </c>
      <c r="H47" s="26"/>
      <c r="I47" s="26"/>
      <c r="J47" s="26"/>
    </row>
    <row r="48" spans="1:13" ht="15.4">
      <c r="A48" s="14" t="s">
        <v>51</v>
      </c>
      <c r="B48" s="188"/>
      <c r="C48" s="14"/>
      <c r="D48" s="14"/>
      <c r="E48" s="14"/>
      <c r="F48" s="14"/>
      <c r="G48" s="18"/>
      <c r="H48" s="26"/>
      <c r="I48" s="26"/>
      <c r="J48" s="26"/>
      <c r="L48" s="365"/>
    </row>
    <row r="49" spans="1:12" ht="15" customHeight="1">
      <c r="A49" s="371" t="s">
        <v>105</v>
      </c>
      <c r="B49" s="371"/>
      <c r="C49" s="371"/>
      <c r="D49" s="371"/>
      <c r="E49" s="371"/>
      <c r="F49" s="371"/>
      <c r="G49" s="26"/>
      <c r="H49" s="26"/>
      <c r="I49" s="26"/>
      <c r="J49" s="26"/>
      <c r="L49" s="365"/>
    </row>
    <row r="50" spans="1:12" ht="15.75" customHeight="1">
      <c r="A50" s="249" t="s">
        <v>29</v>
      </c>
      <c r="B50" s="367" t="s">
        <v>38</v>
      </c>
      <c r="C50" s="370" t="s">
        <v>33</v>
      </c>
      <c r="D50" s="370"/>
      <c r="E50" s="368" t="s">
        <v>34</v>
      </c>
      <c r="F50" s="368" t="s">
        <v>10</v>
      </c>
      <c r="G50" s="367" t="s">
        <v>46</v>
      </c>
      <c r="H50" s="251"/>
      <c r="I50" s="251"/>
      <c r="J50" s="251"/>
      <c r="L50" s="365"/>
    </row>
    <row r="51" spans="1:12" ht="42" customHeight="1">
      <c r="A51" s="249"/>
      <c r="B51" s="367"/>
      <c r="C51" s="250" t="s">
        <v>5</v>
      </c>
      <c r="D51" s="250" t="s">
        <v>6</v>
      </c>
      <c r="E51" s="368"/>
      <c r="F51" s="368"/>
      <c r="G51" s="367"/>
      <c r="H51" s="250" t="s">
        <v>35</v>
      </c>
      <c r="I51" s="250" t="s">
        <v>36</v>
      </c>
      <c r="J51" s="250" t="s">
        <v>39</v>
      </c>
      <c r="L51" s="365"/>
    </row>
    <row r="52" spans="1:12" ht="15.4">
      <c r="A52" s="225">
        <v>2012</v>
      </c>
      <c r="B52" s="289">
        <v>8710</v>
      </c>
      <c r="C52" s="290">
        <v>2501</v>
      </c>
      <c r="D52" s="278">
        <v>6209</v>
      </c>
      <c r="E52" s="278">
        <v>8138</v>
      </c>
      <c r="F52" s="263">
        <f>+C52+D52+E52</f>
        <v>16848</v>
      </c>
      <c r="G52" s="271"/>
      <c r="H52" s="15"/>
      <c r="I52" s="15"/>
      <c r="J52" s="173"/>
    </row>
    <row r="53" spans="1:12" ht="15.4">
      <c r="A53" s="225">
        <v>2013</v>
      </c>
      <c r="B53" s="289">
        <v>6126</v>
      </c>
      <c r="C53" s="278">
        <v>1543</v>
      </c>
      <c r="D53" s="281">
        <v>4583</v>
      </c>
      <c r="E53" s="278">
        <v>6248</v>
      </c>
      <c r="F53" s="263">
        <f t="shared" ref="F53:F63" si="6">+C53+D53+E53</f>
        <v>12374</v>
      </c>
      <c r="G53" s="174"/>
      <c r="H53" s="18"/>
      <c r="I53" s="18"/>
      <c r="J53" s="40"/>
    </row>
    <row r="54" spans="1:12" ht="15.4">
      <c r="A54" s="225">
        <v>2014</v>
      </c>
      <c r="B54" s="291">
        <v>6471</v>
      </c>
      <c r="C54" s="292">
        <v>897</v>
      </c>
      <c r="D54" s="293">
        <v>5574</v>
      </c>
      <c r="E54" s="294">
        <v>7818</v>
      </c>
      <c r="F54" s="266">
        <f t="shared" si="6"/>
        <v>14289</v>
      </c>
      <c r="G54" s="174"/>
      <c r="H54" s="18"/>
      <c r="I54" s="18"/>
      <c r="J54" s="40"/>
    </row>
    <row r="55" spans="1:12" ht="15.4">
      <c r="A55" s="225">
        <v>2015</v>
      </c>
      <c r="B55" s="284">
        <v>6869</v>
      </c>
      <c r="C55" s="284">
        <v>1838</v>
      </c>
      <c r="D55" s="285">
        <v>5031</v>
      </c>
      <c r="E55" s="284">
        <v>8522</v>
      </c>
      <c r="F55" s="215">
        <f t="shared" si="6"/>
        <v>15391</v>
      </c>
      <c r="G55" s="174"/>
      <c r="H55" s="18"/>
      <c r="I55" s="18"/>
      <c r="J55" s="40"/>
    </row>
    <row r="56" spans="1:12" ht="15.4">
      <c r="A56" s="225">
        <v>2016</v>
      </c>
      <c r="B56" s="284">
        <v>8524</v>
      </c>
      <c r="C56" s="284">
        <v>2606</v>
      </c>
      <c r="D56" s="284">
        <v>5918</v>
      </c>
      <c r="E56" s="284">
        <v>8933</v>
      </c>
      <c r="F56" s="215">
        <f t="shared" si="6"/>
        <v>17457</v>
      </c>
      <c r="G56" s="175"/>
      <c r="J56" s="20"/>
    </row>
    <row r="57" spans="1:12" ht="15.4">
      <c r="A57" s="225">
        <v>2017</v>
      </c>
      <c r="B57" s="283">
        <v>3673</v>
      </c>
      <c r="C57" s="283">
        <v>352</v>
      </c>
      <c r="D57" s="283">
        <v>3321</v>
      </c>
      <c r="E57" s="284">
        <v>7126</v>
      </c>
      <c r="F57" s="215">
        <f t="shared" si="6"/>
        <v>10799</v>
      </c>
      <c r="G57" s="176"/>
      <c r="H57" s="24"/>
      <c r="I57" s="24"/>
      <c r="J57" s="34"/>
    </row>
    <row r="58" spans="1:12" ht="15.4">
      <c r="A58" s="225">
        <v>2018</v>
      </c>
      <c r="B58" s="283">
        <v>11180</v>
      </c>
      <c r="C58" s="283">
        <v>5743</v>
      </c>
      <c r="D58" s="283">
        <v>5437</v>
      </c>
      <c r="E58" s="284">
        <v>7120</v>
      </c>
      <c r="F58" s="215">
        <f t="shared" si="6"/>
        <v>18300</v>
      </c>
      <c r="G58" s="176"/>
      <c r="H58" s="24"/>
      <c r="I58" s="24"/>
      <c r="J58" s="34"/>
    </row>
    <row r="59" spans="1:12" ht="15.4">
      <c r="A59" s="225">
        <v>2019</v>
      </c>
      <c r="B59" s="283">
        <v>6819</v>
      </c>
      <c r="C59" s="283">
        <v>2185</v>
      </c>
      <c r="D59" s="283">
        <v>4634</v>
      </c>
      <c r="E59" s="284">
        <v>7869</v>
      </c>
      <c r="F59" s="215">
        <f t="shared" si="6"/>
        <v>14688</v>
      </c>
      <c r="G59" s="176"/>
      <c r="H59" s="24"/>
      <c r="I59" s="24"/>
      <c r="J59" s="34"/>
    </row>
    <row r="60" spans="1:12" ht="15.4">
      <c r="A60" s="225">
        <v>2020</v>
      </c>
      <c r="B60" s="284">
        <v>5064</v>
      </c>
      <c r="C60" s="284">
        <v>1535</v>
      </c>
      <c r="D60" s="284">
        <v>3529</v>
      </c>
      <c r="E60" s="284">
        <v>4511</v>
      </c>
      <c r="F60" s="215">
        <f t="shared" si="6"/>
        <v>9575</v>
      </c>
      <c r="G60" s="176"/>
      <c r="J60" s="20"/>
    </row>
    <row r="61" spans="1:12" ht="15.4">
      <c r="A61" s="225">
        <v>2021</v>
      </c>
      <c r="B61" s="284">
        <v>5716</v>
      </c>
      <c r="C61" s="284">
        <v>96</v>
      </c>
      <c r="D61" s="284">
        <v>5620</v>
      </c>
      <c r="E61" s="284">
        <v>5063</v>
      </c>
      <c r="F61" s="215">
        <f t="shared" si="6"/>
        <v>10779</v>
      </c>
      <c r="G61" s="176"/>
      <c r="J61" s="20"/>
    </row>
    <row r="62" spans="1:12" ht="15.4">
      <c r="A62" s="225">
        <v>2022</v>
      </c>
      <c r="B62" s="284">
        <v>7411</v>
      </c>
      <c r="C62" s="284">
        <v>489</v>
      </c>
      <c r="D62" s="284">
        <v>6922</v>
      </c>
      <c r="E62" s="284">
        <v>7524</v>
      </c>
      <c r="F62" s="215">
        <f>+C62+D62+E62</f>
        <v>14935</v>
      </c>
      <c r="G62" s="224"/>
      <c r="H62" s="177"/>
      <c r="I62" s="177"/>
      <c r="J62" s="22"/>
    </row>
    <row r="63" spans="1:12" ht="15.4">
      <c r="A63" s="225">
        <v>2023</v>
      </c>
      <c r="B63" s="284">
        <v>4867</v>
      </c>
      <c r="C63" s="284">
        <v>656</v>
      </c>
      <c r="D63" s="284">
        <v>4211</v>
      </c>
      <c r="E63" s="284">
        <v>6253</v>
      </c>
      <c r="F63" s="215">
        <f t="shared" si="6"/>
        <v>11120</v>
      </c>
      <c r="G63" s="175"/>
      <c r="J63" s="20"/>
    </row>
    <row r="64" spans="1:12" ht="15.4">
      <c r="A64" s="225">
        <v>2024</v>
      </c>
      <c r="B64" s="282">
        <v>3282</v>
      </c>
      <c r="C64" s="282">
        <v>452</v>
      </c>
      <c r="D64" s="282">
        <v>2830</v>
      </c>
      <c r="E64" s="282">
        <v>9220</v>
      </c>
      <c r="F64" s="215">
        <f>+C64+D64+E64</f>
        <v>12502</v>
      </c>
      <c r="G64" s="175"/>
      <c r="J64" s="20"/>
    </row>
    <row r="65" spans="1:12" ht="15.4">
      <c r="A65" s="225">
        <v>2025</v>
      </c>
      <c r="B65" s="295">
        <f>+C65+D65</f>
        <v>14054</v>
      </c>
      <c r="C65" s="295">
        <v>2335</v>
      </c>
      <c r="D65" s="295">
        <v>11719</v>
      </c>
      <c r="E65" s="295">
        <v>5844</v>
      </c>
      <c r="F65" s="215">
        <f>+C65+D65+E65</f>
        <v>19898</v>
      </c>
      <c r="G65" s="276">
        <f t="shared" ref="G65:J66" si="7">+B65/B64*100-100</f>
        <v>328.21450335161489</v>
      </c>
      <c r="H65" s="222">
        <f t="shared" si="7"/>
        <v>416.59292035398232</v>
      </c>
      <c r="I65" s="222">
        <f t="shared" si="7"/>
        <v>314.09893992932859</v>
      </c>
      <c r="J65" s="223">
        <f t="shared" si="7"/>
        <v>-36.616052060737523</v>
      </c>
    </row>
    <row r="66" spans="1:12" ht="15.4">
      <c r="A66" s="225">
        <v>2026</v>
      </c>
      <c r="B66" s="288">
        <v>14465</v>
      </c>
      <c r="C66" s="287">
        <v>4900</v>
      </c>
      <c r="D66" s="286">
        <v>9565</v>
      </c>
      <c r="E66" s="287">
        <v>1124</v>
      </c>
      <c r="F66" s="171">
        <f>+C66+D66+E66</f>
        <v>15589</v>
      </c>
      <c r="G66" s="35">
        <f t="shared" si="7"/>
        <v>2.9244343247474092</v>
      </c>
      <c r="H66" s="220">
        <f t="shared" si="7"/>
        <v>109.85010706638116</v>
      </c>
      <c r="I66" s="221">
        <f t="shared" si="7"/>
        <v>-18.380407884631794</v>
      </c>
      <c r="J66" s="35">
        <f t="shared" si="7"/>
        <v>-80.766598220396986</v>
      </c>
    </row>
    <row r="67" spans="1:12" ht="15.4">
      <c r="A67" s="16"/>
      <c r="B67" s="189">
        <f>+B65-B64</f>
        <v>10772</v>
      </c>
      <c r="C67" s="24"/>
      <c r="D67" s="44"/>
      <c r="E67" s="28">
        <f>+E65-E64</f>
        <v>-3376</v>
      </c>
      <c r="F67" s="223"/>
      <c r="G67" s="18"/>
      <c r="H67" s="26"/>
      <c r="I67" s="26"/>
      <c r="J67" s="26"/>
    </row>
    <row r="68" spans="1:12" ht="15.4">
      <c r="A68" s="27" t="s">
        <v>61</v>
      </c>
      <c r="B68" s="189">
        <f>AVERAGE(B52:B64)</f>
        <v>6516.3076923076924</v>
      </c>
      <c r="C68" s="21"/>
      <c r="D68" s="364"/>
      <c r="E68" s="364"/>
      <c r="F68" s="28"/>
      <c r="G68" s="26"/>
      <c r="H68" s="45"/>
      <c r="I68" s="26"/>
      <c r="J68" s="26"/>
    </row>
    <row r="69" spans="1:12" ht="15.4">
      <c r="A69" s="16"/>
      <c r="B69" s="190">
        <f>+B65/B68*100-100</f>
        <v>115.6742846349986</v>
      </c>
      <c r="C69" s="30"/>
      <c r="D69" s="16"/>
      <c r="E69" s="37"/>
      <c r="F69" s="25">
        <f>+F65/F64*100-100</f>
        <v>59.158534634458476</v>
      </c>
      <c r="G69" s="26"/>
      <c r="H69" s="26"/>
      <c r="I69" s="26"/>
      <c r="J69" s="26"/>
    </row>
    <row r="70" spans="1:12" ht="15.4">
      <c r="A70" s="27" t="s">
        <v>65</v>
      </c>
      <c r="B70" s="189">
        <f>+B65-B64</f>
        <v>10772</v>
      </c>
      <c r="C70" s="46"/>
      <c r="F70" s="30">
        <f>+F65-F64</f>
        <v>7396</v>
      </c>
      <c r="G70" s="228">
        <f>+F65-F71</f>
        <v>6124.3846153846152</v>
      </c>
    </row>
    <row r="71" spans="1:12" ht="15.4">
      <c r="A71" s="36"/>
      <c r="C71" s="47"/>
      <c r="F71" s="30">
        <f>AVERAGE(F52:F64)</f>
        <v>13773.615384615385</v>
      </c>
    </row>
    <row r="72" spans="1:12" ht="15.95" customHeight="1">
      <c r="A72" s="36"/>
      <c r="C72" s="47"/>
      <c r="F72" s="24">
        <f>+F65/F71*100-100</f>
        <v>44.46461182751861</v>
      </c>
      <c r="L72" s="365"/>
    </row>
    <row r="73" spans="1:12" ht="15" customHeight="1">
      <c r="A73" s="371" t="s">
        <v>106</v>
      </c>
      <c r="B73" s="371"/>
      <c r="C73" s="371"/>
      <c r="D73" s="371"/>
      <c r="E73" s="371"/>
      <c r="F73" s="371"/>
      <c r="G73" s="371"/>
      <c r="H73" s="26"/>
      <c r="I73" s="26"/>
      <c r="J73" s="26"/>
      <c r="L73" s="365"/>
    </row>
    <row r="74" spans="1:12" ht="15.75" customHeight="1">
      <c r="A74" s="371" t="s">
        <v>100</v>
      </c>
      <c r="B74" s="371"/>
      <c r="C74" s="371"/>
      <c r="D74" s="371"/>
      <c r="E74" s="371"/>
      <c r="F74" s="371"/>
      <c r="G74" s="26"/>
      <c r="H74" s="26"/>
      <c r="I74" s="26"/>
      <c r="J74" s="26"/>
      <c r="L74" s="365"/>
    </row>
    <row r="75" spans="1:12" ht="30.75" customHeight="1">
      <c r="A75" s="48" t="s">
        <v>29</v>
      </c>
      <c r="B75" s="376" t="s">
        <v>38</v>
      </c>
      <c r="C75" s="378" t="s">
        <v>33</v>
      </c>
      <c r="D75" s="378"/>
      <c r="E75" s="379" t="s">
        <v>34</v>
      </c>
      <c r="F75" s="372" t="s">
        <v>10</v>
      </c>
      <c r="G75" s="374" t="s">
        <v>46</v>
      </c>
      <c r="H75" s="10"/>
      <c r="I75" s="10"/>
      <c r="J75" s="11"/>
      <c r="L75" s="365"/>
    </row>
    <row r="76" spans="1:12" ht="15.4">
      <c r="A76" s="49"/>
      <c r="B76" s="377"/>
      <c r="C76" s="13" t="s">
        <v>5</v>
      </c>
      <c r="D76" s="13" t="s">
        <v>6</v>
      </c>
      <c r="E76" s="380"/>
      <c r="F76" s="373"/>
      <c r="G76" s="375"/>
      <c r="H76" s="50" t="s">
        <v>35</v>
      </c>
      <c r="I76" s="50" t="s">
        <v>36</v>
      </c>
      <c r="J76" s="51" t="s">
        <v>39</v>
      </c>
    </row>
    <row r="77" spans="1:12" ht="15.4">
      <c r="A77" s="225">
        <v>2012</v>
      </c>
      <c r="B77" s="262">
        <v>14429</v>
      </c>
      <c r="C77" s="263">
        <v>5160</v>
      </c>
      <c r="D77" s="263">
        <v>9269</v>
      </c>
      <c r="E77" s="263">
        <v>15280</v>
      </c>
      <c r="F77" s="268">
        <v>29709</v>
      </c>
      <c r="G77" s="15"/>
      <c r="H77" s="15"/>
      <c r="I77" s="15"/>
      <c r="J77" s="173"/>
    </row>
    <row r="78" spans="1:12" ht="15.4">
      <c r="A78" s="225">
        <v>2013</v>
      </c>
      <c r="B78" s="262">
        <v>14297</v>
      </c>
      <c r="C78" s="263">
        <v>3648</v>
      </c>
      <c r="D78" s="263">
        <v>10649</v>
      </c>
      <c r="E78" s="263">
        <v>12413</v>
      </c>
      <c r="F78" s="268">
        <v>26710</v>
      </c>
      <c r="G78" s="271"/>
      <c r="H78" s="15"/>
      <c r="I78" s="15"/>
      <c r="J78" s="173"/>
    </row>
    <row r="79" spans="1:12" ht="15.4">
      <c r="A79" s="225">
        <v>2014</v>
      </c>
      <c r="B79" s="264">
        <v>10051</v>
      </c>
      <c r="C79" s="265">
        <v>1081</v>
      </c>
      <c r="D79" s="265">
        <v>8970</v>
      </c>
      <c r="E79" s="266">
        <v>15576</v>
      </c>
      <c r="F79" s="268">
        <v>25627</v>
      </c>
      <c r="G79" s="174"/>
      <c r="H79" s="18"/>
      <c r="I79" s="18"/>
      <c r="J79" s="40"/>
    </row>
    <row r="80" spans="1:12" ht="15.4">
      <c r="A80" s="225">
        <v>2015</v>
      </c>
      <c r="B80" s="215">
        <v>15643</v>
      </c>
      <c r="C80" s="215">
        <v>6016</v>
      </c>
      <c r="D80" s="215">
        <v>9627</v>
      </c>
      <c r="E80" s="215">
        <v>15842</v>
      </c>
      <c r="F80" s="268">
        <v>31485</v>
      </c>
      <c r="G80" s="174"/>
      <c r="H80" s="18"/>
      <c r="I80" s="18"/>
      <c r="J80" s="40"/>
    </row>
    <row r="81" spans="1:10" ht="15.4">
      <c r="A81" s="225">
        <v>2016</v>
      </c>
      <c r="B81" s="215">
        <v>15451</v>
      </c>
      <c r="C81" s="215">
        <v>4761</v>
      </c>
      <c r="D81" s="215">
        <v>10690</v>
      </c>
      <c r="E81" s="215">
        <v>16648</v>
      </c>
      <c r="F81" s="268">
        <v>32099</v>
      </c>
      <c r="G81" s="175"/>
      <c r="J81" s="20"/>
    </row>
    <row r="82" spans="1:10" ht="15.4">
      <c r="A82" s="225">
        <v>2017</v>
      </c>
      <c r="B82" s="215">
        <v>9015</v>
      </c>
      <c r="C82" s="215">
        <v>841</v>
      </c>
      <c r="D82" s="215">
        <v>8174</v>
      </c>
      <c r="E82" s="215">
        <v>14428</v>
      </c>
      <c r="F82" s="268">
        <v>23443</v>
      </c>
      <c r="G82" s="176"/>
      <c r="H82" s="24"/>
      <c r="I82" s="24"/>
      <c r="J82" s="34"/>
    </row>
    <row r="83" spans="1:10" ht="15.4">
      <c r="A83" s="225">
        <v>2018</v>
      </c>
      <c r="B83" s="215">
        <v>14962</v>
      </c>
      <c r="C83" s="215">
        <v>6334</v>
      </c>
      <c r="D83" s="215">
        <v>8628</v>
      </c>
      <c r="E83" s="215">
        <v>12897</v>
      </c>
      <c r="F83" s="268">
        <v>27859</v>
      </c>
      <c r="G83" s="176"/>
      <c r="H83" s="24"/>
      <c r="I83" s="24"/>
      <c r="J83" s="34"/>
    </row>
    <row r="84" spans="1:10" ht="15.4">
      <c r="A84" s="225">
        <v>2019</v>
      </c>
      <c r="B84" s="215">
        <v>9974</v>
      </c>
      <c r="C84" s="215">
        <v>2847</v>
      </c>
      <c r="D84" s="215">
        <v>7127</v>
      </c>
      <c r="E84" s="215">
        <v>12897</v>
      </c>
      <c r="F84" s="268">
        <v>22871</v>
      </c>
      <c r="G84" s="176"/>
      <c r="H84" s="24"/>
      <c r="I84" s="24"/>
      <c r="J84" s="34"/>
    </row>
    <row r="85" spans="1:10" ht="15.4">
      <c r="A85" s="225">
        <v>2020</v>
      </c>
      <c r="B85" s="215">
        <v>7025</v>
      </c>
      <c r="C85" s="215">
        <v>1627</v>
      </c>
      <c r="D85" s="215">
        <v>5398</v>
      </c>
      <c r="E85" s="215">
        <v>8321</v>
      </c>
      <c r="F85" s="269">
        <v>15346</v>
      </c>
      <c r="G85" s="176"/>
      <c r="J85" s="20"/>
    </row>
    <row r="86" spans="1:10" ht="15.4">
      <c r="A86" s="225">
        <v>2021</v>
      </c>
      <c r="B86" s="215">
        <v>11054</v>
      </c>
      <c r="C86" s="215">
        <v>1104</v>
      </c>
      <c r="D86" s="215">
        <v>9950</v>
      </c>
      <c r="E86" s="215">
        <v>9600</v>
      </c>
      <c r="F86" s="269">
        <v>20654</v>
      </c>
      <c r="G86" s="176"/>
      <c r="J86" s="20"/>
    </row>
    <row r="87" spans="1:10" ht="15.4">
      <c r="A87" s="225">
        <v>2022</v>
      </c>
      <c r="B87" s="215">
        <v>14090</v>
      </c>
      <c r="C87" s="215">
        <v>648</v>
      </c>
      <c r="D87" s="215">
        <v>13442</v>
      </c>
      <c r="E87" s="215">
        <v>11922</v>
      </c>
      <c r="F87" s="269">
        <v>26012</v>
      </c>
      <c r="G87" s="175"/>
      <c r="J87" s="20"/>
    </row>
    <row r="88" spans="1:10" ht="15.4">
      <c r="A88" s="225">
        <v>2023</v>
      </c>
      <c r="B88" s="215">
        <v>11361</v>
      </c>
      <c r="C88" s="215">
        <v>810</v>
      </c>
      <c r="D88" s="215">
        <v>10551</v>
      </c>
      <c r="E88" s="215">
        <v>12134</v>
      </c>
      <c r="F88" s="270">
        <f>+E88+D88+C88</f>
        <v>23495</v>
      </c>
      <c r="G88" s="276"/>
      <c r="H88" s="222"/>
      <c r="I88" s="222"/>
      <c r="J88" s="223"/>
    </row>
    <row r="89" spans="1:10" ht="15.4">
      <c r="A89" s="225">
        <v>2024</v>
      </c>
      <c r="B89" s="264">
        <v>9081</v>
      </c>
      <c r="C89" s="264">
        <v>651</v>
      </c>
      <c r="D89" s="264">
        <v>8430</v>
      </c>
      <c r="E89" s="264">
        <v>13643</v>
      </c>
      <c r="F89" s="270">
        <f>+C89+D89+E89</f>
        <v>22724</v>
      </c>
      <c r="G89" s="175"/>
      <c r="J89" s="20"/>
    </row>
    <row r="90" spans="1:10" ht="15.4">
      <c r="A90" s="225" t="s">
        <v>107</v>
      </c>
      <c r="B90" s="288">
        <f>+C90+D90</f>
        <v>14054</v>
      </c>
      <c r="C90" s="295">
        <v>2335</v>
      </c>
      <c r="D90" s="295">
        <v>11719</v>
      </c>
      <c r="E90" s="295">
        <v>5844</v>
      </c>
      <c r="F90" s="270">
        <f>+C90+D90+E90</f>
        <v>19898</v>
      </c>
      <c r="G90" s="195">
        <f t="shared" ref="G90:J91" si="8">+B90/B89*100-100</f>
        <v>54.76269133355359</v>
      </c>
      <c r="H90" s="172">
        <f t="shared" si="8"/>
        <v>258.678955453149</v>
      </c>
      <c r="I90" s="172">
        <f t="shared" si="8"/>
        <v>39.015421115065237</v>
      </c>
      <c r="J90" s="41">
        <f t="shared" si="8"/>
        <v>-57.164846441398524</v>
      </c>
    </row>
    <row r="91" spans="1:10" ht="15.4">
      <c r="A91" s="225">
        <v>2026</v>
      </c>
      <c r="B91" s="288">
        <f>+C91+D91</f>
        <v>14465</v>
      </c>
      <c r="C91" s="287">
        <v>4900</v>
      </c>
      <c r="D91" s="286">
        <v>9565</v>
      </c>
      <c r="E91" s="287">
        <v>1124</v>
      </c>
      <c r="F91" s="171">
        <f>+C91+D91+E91</f>
        <v>15589</v>
      </c>
      <c r="G91" s="35">
        <f t="shared" si="8"/>
        <v>2.9244343247474092</v>
      </c>
      <c r="H91" s="220">
        <f t="shared" si="8"/>
        <v>109.85010706638116</v>
      </c>
      <c r="I91" s="221">
        <f t="shared" si="8"/>
        <v>-18.380407884631794</v>
      </c>
      <c r="J91" s="35">
        <f t="shared" si="8"/>
        <v>-80.766598220396986</v>
      </c>
    </row>
    <row r="92" spans="1:10" ht="15.4">
      <c r="A92" s="16" t="s">
        <v>108</v>
      </c>
      <c r="C92" s="24"/>
      <c r="F92" s="29">
        <f>+F90-F89</f>
        <v>-2826</v>
      </c>
      <c r="G92" s="18"/>
      <c r="H92" s="26"/>
      <c r="I92" s="26"/>
      <c r="J92" s="26"/>
    </row>
    <row r="93" spans="1:10" ht="15.4">
      <c r="A93" s="27" t="s">
        <v>61</v>
      </c>
      <c r="B93" s="189">
        <f>+B90-B89</f>
        <v>4973</v>
      </c>
      <c r="C93" s="21"/>
      <c r="D93" s="317">
        <f>+B91/F91</f>
        <v>0.92789787670793511</v>
      </c>
      <c r="E93" s="42"/>
      <c r="F93" s="43">
        <f>+F90/F89*100-100</f>
        <v>-12.436190811476848</v>
      </c>
      <c r="G93" s="216"/>
      <c r="H93" s="45"/>
      <c r="I93" s="26"/>
      <c r="J93" s="26"/>
    </row>
    <row r="94" spans="1:10" ht="15.4">
      <c r="A94" s="16"/>
      <c r="B94" s="189">
        <f>AVERAGE(B77:B89)</f>
        <v>12033.307692307691</v>
      </c>
      <c r="C94" s="30"/>
      <c r="D94" s="44"/>
      <c r="E94" s="28"/>
      <c r="F94" s="28"/>
      <c r="G94" s="26"/>
      <c r="H94" s="26"/>
      <c r="I94" s="26"/>
      <c r="J94" s="26"/>
    </row>
    <row r="95" spans="1:10" ht="15.4">
      <c r="A95" s="36"/>
      <c r="B95" s="190">
        <f>+B90/B94*100-100</f>
        <v>16.792492632628679</v>
      </c>
      <c r="C95" s="46"/>
      <c r="D95" s="21"/>
      <c r="E95" s="21"/>
      <c r="F95" s="189">
        <f>AVERAGE(F77:F89)</f>
        <v>25233.384615384617</v>
      </c>
    </row>
    <row r="96" spans="1:10" ht="15.4">
      <c r="D96" s="16"/>
      <c r="E96" s="37"/>
      <c r="F96" s="190">
        <f>+F90/F95*100-100</f>
        <v>-21.144149691800237</v>
      </c>
    </row>
  </sheetData>
  <mergeCells count="24">
    <mergeCell ref="L72:L75"/>
    <mergeCell ref="A74:F74"/>
    <mergeCell ref="F75:F76"/>
    <mergeCell ref="G75:G76"/>
    <mergeCell ref="B75:B76"/>
    <mergeCell ref="C75:D75"/>
    <mergeCell ref="E75:E76"/>
    <mergeCell ref="A73:G73"/>
    <mergeCell ref="D68:E68"/>
    <mergeCell ref="L48:L51"/>
    <mergeCell ref="A1:J1"/>
    <mergeCell ref="B5:B6"/>
    <mergeCell ref="C5:D5"/>
    <mergeCell ref="A26:D26"/>
    <mergeCell ref="E5:E6"/>
    <mergeCell ref="B27:B28"/>
    <mergeCell ref="C27:D27"/>
    <mergeCell ref="A49:F49"/>
    <mergeCell ref="B50:B51"/>
    <mergeCell ref="C50:D50"/>
    <mergeCell ref="E50:E51"/>
    <mergeCell ref="E27:E28"/>
    <mergeCell ref="G50:G51"/>
    <mergeCell ref="F50:F5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7A8C-7DB8-4AEB-8FBB-9578E77DA192}">
  <dimension ref="A1:I21"/>
  <sheetViews>
    <sheetView workbookViewId="0">
      <selection activeCell="I3" sqref="I3"/>
    </sheetView>
  </sheetViews>
  <sheetFormatPr baseColWidth="10" defaultRowHeight="14.25"/>
  <sheetData>
    <row r="1" spans="1:9">
      <c r="A1" s="441" t="s">
        <v>130</v>
      </c>
      <c r="B1" s="419"/>
      <c r="C1" s="424"/>
      <c r="D1" s="441" t="s">
        <v>131</v>
      </c>
      <c r="E1" s="419"/>
      <c r="F1" s="424"/>
      <c r="G1" s="441" t="s">
        <v>132</v>
      </c>
      <c r="H1" s="419"/>
      <c r="I1" s="424"/>
    </row>
    <row r="2" spans="1:9">
      <c r="A2" s="322" t="s">
        <v>5</v>
      </c>
      <c r="B2" s="160" t="s">
        <v>6</v>
      </c>
      <c r="C2" s="161" t="s">
        <v>6</v>
      </c>
      <c r="D2" s="322" t="s">
        <v>5</v>
      </c>
      <c r="E2" s="160" t="s">
        <v>6</v>
      </c>
      <c r="F2" s="161" t="s">
        <v>90</v>
      </c>
      <c r="G2" s="322" t="s">
        <v>5</v>
      </c>
      <c r="H2" s="160" t="s">
        <v>6</v>
      </c>
      <c r="I2" s="161"/>
    </row>
    <row r="3" spans="1:9" ht="14.65">
      <c r="A3" s="311"/>
      <c r="B3" s="60">
        <v>325</v>
      </c>
      <c r="C3" s="312">
        <v>53</v>
      </c>
      <c r="D3" s="311">
        <v>12</v>
      </c>
      <c r="E3" s="60">
        <v>382</v>
      </c>
      <c r="F3" s="312">
        <v>354</v>
      </c>
      <c r="G3" s="311">
        <v>12</v>
      </c>
      <c r="H3" s="60">
        <v>383</v>
      </c>
      <c r="I3" s="312">
        <v>355</v>
      </c>
    </row>
    <row r="4" spans="1:9" ht="14.65">
      <c r="A4" s="311">
        <v>3</v>
      </c>
      <c r="B4" s="60">
        <v>266</v>
      </c>
      <c r="C4" s="312">
        <v>98</v>
      </c>
      <c r="D4" s="311">
        <v>3</v>
      </c>
      <c r="E4" s="60">
        <v>266</v>
      </c>
      <c r="F4" s="312">
        <v>143</v>
      </c>
      <c r="G4" s="311">
        <v>3</v>
      </c>
      <c r="H4" s="60">
        <v>266</v>
      </c>
      <c r="I4" s="312">
        <v>252</v>
      </c>
    </row>
    <row r="5" spans="1:9" ht="14.65">
      <c r="A5" s="311"/>
      <c r="B5" s="60"/>
      <c r="C5" s="312"/>
      <c r="D5" s="311">
        <v>1</v>
      </c>
      <c r="E5" s="60">
        <v>0</v>
      </c>
      <c r="F5" s="312">
        <v>1</v>
      </c>
      <c r="G5" s="311">
        <v>2</v>
      </c>
      <c r="H5" s="60">
        <v>198</v>
      </c>
      <c r="I5" s="312">
        <v>2</v>
      </c>
    </row>
    <row r="6" spans="1:9" ht="14.65">
      <c r="A6" s="311">
        <v>1</v>
      </c>
      <c r="B6" s="60">
        <v>4</v>
      </c>
      <c r="C6" s="312"/>
      <c r="D6" s="311">
        <v>4</v>
      </c>
      <c r="E6" s="60">
        <v>50</v>
      </c>
      <c r="F6" s="312">
        <v>1</v>
      </c>
      <c r="G6" s="311">
        <v>8</v>
      </c>
      <c r="H6" s="60">
        <v>52</v>
      </c>
      <c r="I6" s="312">
        <v>2</v>
      </c>
    </row>
    <row r="7" spans="1:9" ht="14.65">
      <c r="A7" s="311">
        <v>6</v>
      </c>
      <c r="B7" s="60"/>
      <c r="C7" s="312"/>
      <c r="D7" s="311">
        <v>16</v>
      </c>
      <c r="E7" s="60">
        <v>7</v>
      </c>
      <c r="F7" s="312">
        <v>0</v>
      </c>
      <c r="G7" s="311">
        <v>21</v>
      </c>
      <c r="H7" s="60">
        <v>227</v>
      </c>
      <c r="I7" s="312">
        <v>0</v>
      </c>
    </row>
    <row r="8" spans="1:9" ht="14.65">
      <c r="A8" s="311"/>
      <c r="B8" s="60">
        <v>6</v>
      </c>
      <c r="C8" s="312">
        <v>8</v>
      </c>
      <c r="D8" s="311">
        <v>0</v>
      </c>
      <c r="E8" s="60">
        <v>6</v>
      </c>
      <c r="F8" s="312">
        <v>24</v>
      </c>
      <c r="G8" s="311">
        <v>0</v>
      </c>
      <c r="H8" s="60">
        <v>6</v>
      </c>
      <c r="I8" s="312">
        <v>24</v>
      </c>
    </row>
    <row r="9" spans="1:9" ht="14.65">
      <c r="A9" s="311">
        <v>25</v>
      </c>
      <c r="B9" s="60">
        <v>53</v>
      </c>
      <c r="C9" s="312"/>
      <c r="D9" s="311">
        <v>49</v>
      </c>
      <c r="E9" s="60">
        <v>55</v>
      </c>
      <c r="F9" s="312">
        <v>1</v>
      </c>
      <c r="G9" s="311">
        <v>49</v>
      </c>
      <c r="H9" s="60">
        <v>69</v>
      </c>
      <c r="I9" s="312">
        <v>16</v>
      </c>
    </row>
    <row r="10" spans="1:9" ht="14.65">
      <c r="A10" s="311"/>
      <c r="B10" s="60"/>
      <c r="C10" s="312">
        <v>8</v>
      </c>
      <c r="D10" s="311">
        <v>1</v>
      </c>
      <c r="E10" s="60">
        <v>0</v>
      </c>
      <c r="F10" s="312">
        <v>25</v>
      </c>
      <c r="G10" s="311">
        <v>1</v>
      </c>
      <c r="H10" s="60">
        <v>0</v>
      </c>
      <c r="I10" s="312">
        <v>244</v>
      </c>
    </row>
    <row r="11" spans="1:9" ht="14.65">
      <c r="A11" s="311"/>
      <c r="B11" s="60">
        <v>837</v>
      </c>
      <c r="C11" s="312">
        <v>154</v>
      </c>
      <c r="D11" s="311">
        <v>0</v>
      </c>
      <c r="E11" s="60">
        <v>1125</v>
      </c>
      <c r="F11" s="312">
        <v>658</v>
      </c>
      <c r="G11" s="311">
        <v>0</v>
      </c>
      <c r="H11" s="60">
        <v>1942</v>
      </c>
      <c r="I11" s="312">
        <v>1360</v>
      </c>
    </row>
    <row r="12" spans="1:9" ht="14.65">
      <c r="A12" s="311">
        <v>1</v>
      </c>
      <c r="B12" s="60">
        <v>33</v>
      </c>
      <c r="C12" s="312">
        <v>41</v>
      </c>
      <c r="D12" s="311">
        <v>2</v>
      </c>
      <c r="E12" s="60">
        <v>66</v>
      </c>
      <c r="F12" s="312">
        <v>82</v>
      </c>
      <c r="G12" s="311">
        <v>2</v>
      </c>
      <c r="H12" s="60">
        <v>68</v>
      </c>
      <c r="I12" s="312">
        <v>107</v>
      </c>
    </row>
    <row r="13" spans="1:9" ht="14.65">
      <c r="A13" s="311">
        <v>131</v>
      </c>
      <c r="B13" s="60">
        <v>3</v>
      </c>
      <c r="C13" s="312">
        <v>80</v>
      </c>
      <c r="D13" s="311">
        <v>132</v>
      </c>
      <c r="E13" s="60">
        <v>6</v>
      </c>
      <c r="F13" s="312">
        <v>250</v>
      </c>
      <c r="G13" s="311">
        <v>384</v>
      </c>
      <c r="H13" s="60">
        <v>7</v>
      </c>
      <c r="I13" s="312">
        <v>405</v>
      </c>
    </row>
    <row r="14" spans="1:9" ht="14.65">
      <c r="A14" s="311"/>
      <c r="B14" s="60">
        <v>140</v>
      </c>
      <c r="C14" s="312">
        <v>62</v>
      </c>
      <c r="D14" s="311">
        <v>0</v>
      </c>
      <c r="E14" s="60">
        <v>154</v>
      </c>
      <c r="F14" s="312">
        <v>244</v>
      </c>
      <c r="G14" s="311">
        <v>0</v>
      </c>
      <c r="H14" s="60">
        <v>174</v>
      </c>
      <c r="I14" s="312">
        <v>268</v>
      </c>
    </row>
    <row r="15" spans="1:9" ht="14.65">
      <c r="A15" s="311"/>
      <c r="B15" s="60">
        <v>36</v>
      </c>
      <c r="C15" s="312">
        <v>111</v>
      </c>
      <c r="D15" s="311">
        <v>0</v>
      </c>
      <c r="E15" s="60">
        <v>72</v>
      </c>
      <c r="F15" s="312">
        <v>154</v>
      </c>
      <c r="G15" s="311">
        <v>0</v>
      </c>
      <c r="H15" s="60">
        <v>145</v>
      </c>
      <c r="I15" s="312">
        <v>327</v>
      </c>
    </row>
    <row r="16" spans="1:9" ht="14.65">
      <c r="A16" s="311"/>
      <c r="B16" s="60"/>
      <c r="C16" s="312">
        <v>9</v>
      </c>
      <c r="D16" s="311">
        <v>0</v>
      </c>
      <c r="E16" s="60">
        <v>11</v>
      </c>
      <c r="F16" s="312">
        <v>319</v>
      </c>
      <c r="G16" s="311">
        <v>0</v>
      </c>
      <c r="H16" s="60">
        <v>11</v>
      </c>
      <c r="I16" s="312">
        <v>319</v>
      </c>
    </row>
    <row r="17" spans="1:9" ht="14.65">
      <c r="A17" s="311"/>
      <c r="B17" s="60"/>
      <c r="C17" s="312">
        <v>16</v>
      </c>
      <c r="D17" s="311">
        <v>0</v>
      </c>
      <c r="E17" s="60">
        <v>0</v>
      </c>
      <c r="F17" s="312">
        <v>32</v>
      </c>
      <c r="G17" s="311">
        <v>0</v>
      </c>
      <c r="H17" s="60">
        <v>0</v>
      </c>
      <c r="I17" s="312">
        <v>32</v>
      </c>
    </row>
    <row r="18" spans="1:9" ht="14.65">
      <c r="A18" s="311"/>
      <c r="B18" s="60">
        <v>3</v>
      </c>
      <c r="C18" s="312">
        <v>33</v>
      </c>
      <c r="D18" s="311">
        <v>0</v>
      </c>
      <c r="E18" s="60">
        <v>25</v>
      </c>
      <c r="F18" s="312">
        <v>81</v>
      </c>
      <c r="G18" s="311">
        <v>0</v>
      </c>
      <c r="H18" s="60">
        <v>440</v>
      </c>
      <c r="I18" s="312">
        <v>81</v>
      </c>
    </row>
    <row r="19" spans="1:9" ht="14.65">
      <c r="A19" s="311"/>
      <c r="B19" s="60"/>
      <c r="C19" s="312"/>
      <c r="D19" s="311">
        <v>0</v>
      </c>
      <c r="E19" s="60">
        <v>0</v>
      </c>
      <c r="F19" s="312">
        <v>0</v>
      </c>
      <c r="G19" s="311">
        <v>0</v>
      </c>
      <c r="H19" s="60">
        <v>0</v>
      </c>
      <c r="I19" s="312">
        <v>0</v>
      </c>
    </row>
    <row r="20" spans="1:9" ht="14.65">
      <c r="A20" s="311"/>
      <c r="B20" s="60">
        <v>184</v>
      </c>
      <c r="C20" s="312">
        <v>14</v>
      </c>
      <c r="D20" s="311">
        <v>2</v>
      </c>
      <c r="E20" s="60">
        <v>188</v>
      </c>
      <c r="F20" s="312">
        <v>26</v>
      </c>
      <c r="G20" s="311">
        <v>4</v>
      </c>
      <c r="H20" s="60">
        <v>313</v>
      </c>
      <c r="I20" s="312">
        <v>26</v>
      </c>
    </row>
    <row r="21" spans="1:9" ht="14.65">
      <c r="A21" s="323">
        <v>2</v>
      </c>
      <c r="B21" s="324">
        <v>1</v>
      </c>
      <c r="C21" s="325"/>
      <c r="D21" s="323">
        <v>9</v>
      </c>
      <c r="E21" s="324">
        <v>499</v>
      </c>
      <c r="F21" s="325">
        <v>11</v>
      </c>
      <c r="G21" s="323">
        <v>16</v>
      </c>
      <c r="H21" s="324">
        <v>501</v>
      </c>
      <c r="I21" s="325">
        <v>11</v>
      </c>
    </row>
  </sheetData>
  <mergeCells count="3">
    <mergeCell ref="A1:C1"/>
    <mergeCell ref="D1:F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Indicador</vt:lpstr>
      <vt:lpstr>Resumen cifras</vt:lpstr>
      <vt:lpstr>AÑO CORRIDO I TRIMESTRE 25-26</vt:lpstr>
      <vt:lpstr>Viviendas por localidad</vt:lpstr>
      <vt:lpstr>mapa-2024-2025-dic</vt:lpstr>
      <vt:lpstr>Variaciones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Arnold Cesar David Leon Sarmiento</cp:lastModifiedBy>
  <cp:lastPrinted>2017-11-22T23:02:11Z</cp:lastPrinted>
  <dcterms:created xsi:type="dcterms:W3CDTF">2009-11-05T17:06:30Z</dcterms:created>
  <dcterms:modified xsi:type="dcterms:W3CDTF">2026-06-30T16:15:43Z</dcterms:modified>
</cp:coreProperties>
</file>